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35" tabRatio="812" activeTab="0"/>
  </bookViews>
  <sheets>
    <sheet name="GEOMETRIJA" sheetId="1" r:id="rId1"/>
  </sheets>
  <definedNames>
    <definedName name="AKTIV">"GotovOblik 925"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<sst xmlns="http://schemas.openxmlformats.org/spreadsheetml/2006/main" count="122" uniqueCount="116">
  <si>
    <t>Vertikalni korak</t>
  </si>
  <si>
    <t>Horizontalni korak</t>
  </si>
  <si>
    <t>Broj kolone</t>
  </si>
  <si>
    <t>Vertikalni korak sa pregradom</t>
  </si>
  <si>
    <t>Ukupan broj redova od ose</t>
  </si>
  <si>
    <t>Ukupan broj kolona od ose</t>
  </si>
  <si>
    <t>OKNO</t>
  </si>
  <si>
    <t>I =III</t>
  </si>
  <si>
    <t>I =IV</t>
  </si>
  <si>
    <t>Broj cevi</t>
  </si>
  <si>
    <t>II</t>
  </si>
  <si>
    <t>II=III</t>
  </si>
  <si>
    <t>u oknu</t>
  </si>
  <si>
    <t>Presek</t>
  </si>
  <si>
    <t>KOMORA</t>
  </si>
  <si>
    <t>n</t>
  </si>
  <si>
    <t>N1,N2,N5,N6</t>
  </si>
  <si>
    <t>N1,N2,N7,N8</t>
  </si>
  <si>
    <t>N3,N4</t>
  </si>
  <si>
    <t>N3,N4,N5,N6</t>
  </si>
  <si>
    <t>Broj pregrade Nr (nema reda cevi)</t>
  </si>
  <si>
    <t>Broj prolaza u cevnom registru</t>
  </si>
  <si>
    <t>Debljina zida cevi registra</t>
  </si>
  <si>
    <t>br.kolone</t>
  </si>
  <si>
    <t>ver.: v2, jun 2002.</t>
  </si>
  <si>
    <r>
      <t>pri</t>
    </r>
    <r>
      <rPr>
        <i/>
        <sz val="12"/>
        <color indexed="8"/>
        <rFont val="Times New Roman"/>
        <family val="1"/>
      </rPr>
      <t xml:space="preserve"> z</t>
    </r>
    <r>
      <rPr>
        <i/>
        <vertAlign val="subscript"/>
        <sz val="12"/>
        <color indexed="8"/>
        <rFont val="Times New Roman"/>
        <family val="1"/>
      </rPr>
      <t>r</t>
    </r>
    <r>
      <rPr>
        <vertAlign val="subscript"/>
        <sz val="12"/>
        <color indexed="8"/>
        <rFont val="Times New Roman"/>
        <family val="1"/>
      </rPr>
      <t>6</t>
    </r>
  </si>
  <si>
    <r>
      <t>d-d</t>
    </r>
    <r>
      <rPr>
        <i/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/2</t>
    </r>
  </si>
  <si>
    <r>
      <t>N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6</t>
    </r>
    <r>
      <rPr>
        <i/>
        <sz val="12"/>
        <rFont val="Times New Roman"/>
        <family val="1"/>
      </rPr>
      <t xml:space="preserve"> </t>
    </r>
  </si>
  <si>
    <r>
      <t>N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8</t>
    </r>
    <r>
      <rPr>
        <i/>
        <sz val="12"/>
        <rFont val="Times New Roman"/>
        <family val="1"/>
      </rPr>
      <t xml:space="preserve"> </t>
    </r>
  </si>
  <si>
    <r>
      <t>S</t>
    </r>
    <r>
      <rPr>
        <i/>
        <sz val="12"/>
        <rFont val="Times New Roman"/>
        <family val="1"/>
      </rPr>
      <t>n</t>
    </r>
    <r>
      <rPr>
        <sz val="10"/>
        <rFont val="Times New Roman"/>
        <family val="1"/>
      </rPr>
      <t xml:space="preserve">I </t>
    </r>
    <r>
      <rPr>
        <sz val="10"/>
        <rFont val="Arial"/>
        <family val="2"/>
      </rPr>
      <t xml:space="preserve">/ </t>
    </r>
    <r>
      <rPr>
        <sz val="12"/>
        <rFont val="Symbol"/>
        <family val="1"/>
      </rPr>
      <t>S</t>
    </r>
    <r>
      <rPr>
        <i/>
        <sz val="12"/>
        <rFont val="Times New Roman"/>
        <family val="1"/>
      </rPr>
      <t>n</t>
    </r>
    <r>
      <rPr>
        <sz val="10"/>
        <rFont val="Times New Roman"/>
        <family val="1"/>
      </rPr>
      <t>II</t>
    </r>
  </si>
  <si>
    <r>
      <t>S</t>
    </r>
    <r>
      <rPr>
        <i/>
        <sz val="10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n</t>
    </r>
    <r>
      <rPr>
        <i/>
        <vertAlign val="subscript"/>
        <sz val="12"/>
        <color indexed="8"/>
        <rFont val="Arial"/>
        <family val="2"/>
      </rPr>
      <t>k</t>
    </r>
    <r>
      <rPr>
        <vertAlign val="subscript"/>
        <sz val="12"/>
        <color indexed="8"/>
        <rFont val="Arial"/>
        <family val="2"/>
      </rPr>
      <t>6</t>
    </r>
  </si>
  <si>
    <r>
      <t>S</t>
    </r>
    <r>
      <rPr>
        <i/>
        <sz val="10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n</t>
    </r>
    <r>
      <rPr>
        <i/>
        <vertAlign val="subscript"/>
        <sz val="12"/>
        <color indexed="8"/>
        <rFont val="Arial"/>
        <family val="2"/>
      </rPr>
      <t>k</t>
    </r>
    <r>
      <rPr>
        <vertAlign val="subscript"/>
        <sz val="12"/>
        <color indexed="8"/>
        <rFont val="Arial"/>
        <family val="2"/>
      </rPr>
      <t>8</t>
    </r>
  </si>
  <si>
    <r>
      <t>z=</t>
    </r>
    <r>
      <rPr>
        <sz val="12"/>
        <rFont val="Times New Roman"/>
        <family val="1"/>
      </rPr>
      <t>6</t>
    </r>
    <r>
      <rPr>
        <sz val="10"/>
        <rFont val="Arial"/>
        <family val="0"/>
      </rPr>
      <t xml:space="preserve"> prol.</t>
    </r>
  </si>
  <si>
    <r>
      <t>z=</t>
    </r>
    <r>
      <rPr>
        <sz val="12"/>
        <rFont val="Times New Roman"/>
        <family val="1"/>
      </rPr>
      <t>8</t>
    </r>
    <r>
      <rPr>
        <sz val="10"/>
        <rFont val="Arial"/>
        <family val="0"/>
      </rPr>
      <t xml:space="preserve"> prol.</t>
    </r>
  </si>
  <si>
    <r>
      <t>S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2</t>
    </r>
  </si>
  <si>
    <r>
      <t>S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4</t>
    </r>
  </si>
  <si>
    <r>
      <t>S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6</t>
    </r>
  </si>
  <si>
    <r>
      <t>S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8</t>
    </r>
  </si>
  <si>
    <r>
      <t>f</t>
    </r>
    <r>
      <rPr>
        <sz val="10"/>
        <rFont val="Times New Roman"/>
        <family val="1"/>
      </rPr>
      <t xml:space="preserve"> </t>
    </r>
    <r>
      <rPr>
        <sz val="11"/>
        <rFont val="Arial"/>
        <family val="2"/>
      </rPr>
      <t>[m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]</t>
    </r>
  </si>
  <si>
    <r>
      <t>F</t>
    </r>
    <r>
      <rPr>
        <i/>
        <sz val="12"/>
        <rFont val="Times New Roman"/>
        <family val="1"/>
      </rPr>
      <t xml:space="preserve"> D</t>
    </r>
    <r>
      <rPr>
        <i/>
        <vertAlign val="subscript"/>
        <sz val="12"/>
        <rFont val="Times New Roman"/>
        <family val="1"/>
      </rPr>
      <t>s</t>
    </r>
    <r>
      <rPr>
        <sz val="11"/>
        <rFont val="Arial"/>
        <family val="2"/>
      </rPr>
      <t>[m]</t>
    </r>
  </si>
  <si>
    <r>
      <t>k</t>
    </r>
    <r>
      <rPr>
        <i/>
        <vertAlign val="subscript"/>
        <sz val="12"/>
        <color indexed="8"/>
        <rFont val="Times New Roman"/>
        <family val="1"/>
      </rPr>
      <t>v</t>
    </r>
    <r>
      <rPr>
        <vertAlign val="sub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[m]</t>
    </r>
  </si>
  <si>
    <r>
      <t>k</t>
    </r>
    <r>
      <rPr>
        <i/>
        <vertAlign val="subscript"/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1</t>
    </r>
    <r>
      <rPr>
        <sz val="11"/>
        <color indexed="8"/>
        <rFont val="Arial"/>
        <family val="2"/>
      </rPr>
      <t xml:space="preserve"> [m]</t>
    </r>
  </si>
  <si>
    <r>
      <t>k</t>
    </r>
    <r>
      <rPr>
        <i/>
        <vertAlign val="subscript"/>
        <sz val="12"/>
        <color indexed="8"/>
        <rFont val="Times New Roman"/>
        <family val="1"/>
      </rPr>
      <t>v</t>
    </r>
    <r>
      <rPr>
        <vertAlign val="subscript"/>
        <sz val="12"/>
        <color indexed="8"/>
        <rFont val="Times New Roman"/>
        <family val="1"/>
      </rPr>
      <t>0</t>
    </r>
    <r>
      <rPr>
        <sz val="11"/>
        <color indexed="8"/>
        <rFont val="Arial"/>
        <family val="2"/>
      </rPr>
      <t xml:space="preserve"> [m]</t>
    </r>
  </si>
  <si>
    <r>
      <t>k</t>
    </r>
    <r>
      <rPr>
        <i/>
        <vertAlign val="subscript"/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</si>
  <si>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k</t>
    </r>
    <r>
      <rPr>
        <i/>
        <vertAlign val="subscript"/>
        <sz val="12"/>
        <color indexed="8"/>
        <rFont val="Times New Roman"/>
        <family val="1"/>
      </rPr>
      <t>h</t>
    </r>
    <r>
      <rPr>
        <vertAlign val="sub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</si>
  <si>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d</t>
    </r>
    <r>
      <rPr>
        <i/>
        <vertAlign val="subscript"/>
        <sz val="12"/>
        <color indexed="8"/>
        <rFont val="Times New Roman"/>
        <family val="1"/>
      </rPr>
      <t>v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</si>
  <si>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d</t>
    </r>
    <r>
      <rPr>
        <i/>
        <vertAlign val="subscript"/>
        <sz val="12"/>
        <color indexed="8"/>
        <rFont val="Times New Roman"/>
        <family val="1"/>
      </rPr>
      <t>h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</si>
  <si>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d</t>
    </r>
    <r>
      <rPr>
        <i/>
        <vertAlign val="subscript"/>
        <sz val="12"/>
        <color indexed="8"/>
        <rFont val="Times New Roman"/>
        <family val="1"/>
      </rPr>
      <t>d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</si>
  <si>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n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[kom]</t>
    </r>
  </si>
  <si>
    <r>
      <t>pri</t>
    </r>
    <r>
      <rPr>
        <i/>
        <sz val="11"/>
        <color indexed="8"/>
        <rFont val="YU L Swiss"/>
        <family val="2"/>
      </rPr>
      <t xml:space="preserve"> </t>
    </r>
    <r>
      <rPr>
        <i/>
        <sz val="12"/>
        <color indexed="8"/>
        <rFont val="Times New Roman"/>
        <family val="1"/>
      </rPr>
      <t>z</t>
    </r>
    <r>
      <rPr>
        <i/>
        <vertAlign val="subscript"/>
        <sz val="12"/>
        <color indexed="8"/>
        <rFont val="Times New Roman"/>
        <family val="1"/>
      </rPr>
      <t>r</t>
    </r>
    <r>
      <rPr>
        <vertAlign val="subscript"/>
        <sz val="12"/>
        <color indexed="8"/>
        <rFont val="Times New Roman"/>
        <family val="1"/>
      </rPr>
      <t>8</t>
    </r>
  </si>
  <si>
    <r>
      <t>D</t>
    </r>
    <r>
      <rPr>
        <i/>
        <vertAlign val="subscript"/>
        <sz val="12"/>
        <color indexed="8"/>
        <rFont val="Times New Roman"/>
        <family val="1"/>
      </rPr>
      <t>s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</si>
  <si>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s</t>
    </r>
    <r>
      <rPr>
        <i/>
        <vertAlign val="subscript"/>
        <sz val="12"/>
        <color indexed="8"/>
        <rFont val="Times New Roman"/>
        <family val="1"/>
      </rPr>
      <t>o</t>
    </r>
    <r>
      <rPr>
        <sz val="11"/>
        <color indexed="8"/>
        <rFont val="Arial"/>
        <family val="2"/>
      </rPr>
      <t xml:space="preserve"> [m]</t>
    </r>
  </si>
  <si>
    <r>
      <t>D</t>
    </r>
    <r>
      <rPr>
        <i/>
        <vertAlign val="subscript"/>
        <sz val="12"/>
        <color indexed="8"/>
        <rFont val="Times New Roman"/>
        <family val="1"/>
      </rPr>
      <t>u</t>
    </r>
    <r>
      <rPr>
        <sz val="11"/>
        <color indexed="8"/>
        <rFont val="Arial"/>
        <family val="2"/>
      </rPr>
      <t xml:space="preserve"> [m]</t>
    </r>
  </si>
  <si>
    <r>
      <t>d</t>
    </r>
    <r>
      <rPr>
        <i/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[m]</t>
    </r>
  </si>
  <si>
    <r>
      <t>s</t>
    </r>
    <r>
      <rPr>
        <i/>
        <vertAlign val="subscript"/>
        <sz val="12"/>
        <rFont val="Times New Roman"/>
        <family val="1"/>
      </rPr>
      <t>r</t>
    </r>
    <r>
      <rPr>
        <vertAlign val="subscript"/>
        <sz val="11"/>
        <rFont val="Arial"/>
        <family val="2"/>
      </rPr>
      <t xml:space="preserve"> </t>
    </r>
    <r>
      <rPr>
        <sz val="11"/>
        <rFont val="Arial"/>
        <family val="2"/>
      </rPr>
      <t>[m]</t>
    </r>
  </si>
  <si>
    <r>
      <t>d</t>
    </r>
    <r>
      <rPr>
        <i/>
        <vertAlign val="subscript"/>
        <sz val="12"/>
        <rFont val="Times New Roman"/>
        <family val="1"/>
      </rPr>
      <t>u</t>
    </r>
    <r>
      <rPr>
        <sz val="11"/>
        <rFont val="Arial"/>
        <family val="2"/>
      </rPr>
      <t xml:space="preserve"> [m]</t>
    </r>
  </si>
  <si>
    <r>
      <t>d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</si>
  <si>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r</t>
    </r>
    <r>
      <rPr>
        <i/>
        <vertAlign val="subscript"/>
        <sz val="12"/>
        <color indexed="8"/>
        <rFont val="Times New Roman"/>
        <family val="1"/>
      </rPr>
      <t>i max</t>
    </r>
    <r>
      <rPr>
        <sz val="11"/>
        <color indexed="8"/>
        <rFont val="Arial"/>
        <family val="2"/>
      </rPr>
      <t>[m]</t>
    </r>
  </si>
  <si>
    <r>
      <t>H</t>
    </r>
    <r>
      <rPr>
        <i/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[m]</t>
    </r>
  </si>
  <si>
    <r>
      <t>y</t>
    </r>
    <r>
      <rPr>
        <i/>
        <vertAlign val="subscript"/>
        <sz val="11"/>
        <rFont val="Times New Roman"/>
        <family val="1"/>
      </rPr>
      <t>k</t>
    </r>
    <r>
      <rPr>
        <i/>
        <sz val="11"/>
        <rFont val="Times New Roman"/>
        <family val="1"/>
      </rPr>
      <t xml:space="preserve"> </t>
    </r>
    <r>
      <rPr>
        <sz val="10"/>
        <rFont val="Arial"/>
        <family val="0"/>
      </rPr>
      <t>[m]</t>
    </r>
  </si>
  <si>
    <r>
      <t>n</t>
    </r>
    <r>
      <rPr>
        <i/>
        <vertAlign val="subscript"/>
        <sz val="11"/>
        <rFont val="Times New Roman"/>
        <family val="1"/>
      </rPr>
      <t>k</t>
    </r>
    <r>
      <rPr>
        <vertAlign val="subscript"/>
        <sz val="11"/>
        <rFont val="Times New Roman"/>
        <family val="1"/>
      </rPr>
      <t>2</t>
    </r>
    <r>
      <rPr>
        <sz val="10"/>
        <rFont val="Arial"/>
        <family val="0"/>
      </rPr>
      <t>[kom]</t>
    </r>
  </si>
  <si>
    <r>
      <t>n</t>
    </r>
    <r>
      <rPr>
        <i/>
        <vertAlign val="subscript"/>
        <sz val="11"/>
        <rFont val="Times New Roman"/>
        <family val="1"/>
      </rPr>
      <t>k</t>
    </r>
    <r>
      <rPr>
        <vertAlign val="subscript"/>
        <sz val="11"/>
        <rFont val="Times New Roman"/>
        <family val="1"/>
      </rPr>
      <t>4</t>
    </r>
    <r>
      <rPr>
        <sz val="10"/>
        <rFont val="Arial"/>
        <family val="0"/>
      </rPr>
      <t>[kom]</t>
    </r>
  </si>
  <si>
    <r>
      <t>n</t>
    </r>
    <r>
      <rPr>
        <i/>
        <vertAlign val="subscript"/>
        <sz val="11"/>
        <rFont val="Times New Roman"/>
        <family val="1"/>
      </rPr>
      <t>k</t>
    </r>
    <r>
      <rPr>
        <vertAlign val="subscript"/>
        <sz val="11"/>
        <rFont val="Times New Roman"/>
        <family val="1"/>
      </rPr>
      <t>6</t>
    </r>
    <r>
      <rPr>
        <sz val="10"/>
        <rFont val="Arial"/>
        <family val="0"/>
      </rPr>
      <t>[kom]</t>
    </r>
  </si>
  <si>
    <r>
      <t>n</t>
    </r>
    <r>
      <rPr>
        <i/>
        <vertAlign val="subscript"/>
        <sz val="11"/>
        <rFont val="Times New Roman"/>
        <family val="1"/>
      </rPr>
      <t>k</t>
    </r>
    <r>
      <rPr>
        <vertAlign val="subscript"/>
        <sz val="11"/>
        <rFont val="Times New Roman"/>
        <family val="1"/>
      </rPr>
      <t>8</t>
    </r>
    <r>
      <rPr>
        <sz val="10"/>
        <rFont val="Arial"/>
        <family val="0"/>
      </rPr>
      <t>[kom]</t>
    </r>
  </si>
  <si>
    <r>
      <t>II</t>
    </r>
    <r>
      <rPr>
        <sz val="10"/>
        <color indexed="8"/>
        <rFont val="Arial"/>
        <family val="2"/>
      </rPr>
      <t xml:space="preserve"> </t>
    </r>
    <r>
      <rPr>
        <i/>
        <sz val="12"/>
        <color indexed="8"/>
        <rFont val="Times New Roman"/>
        <family val="1"/>
      </rPr>
      <t>n</t>
    </r>
    <r>
      <rPr>
        <i/>
        <vertAlign val="subscript"/>
        <sz val="12"/>
        <color indexed="8"/>
        <rFont val="Times New Roman"/>
        <family val="1"/>
      </rPr>
      <t>k</t>
    </r>
    <r>
      <rPr>
        <vertAlign val="subscript"/>
        <sz val="12"/>
        <color indexed="8"/>
        <rFont val="Times New Roman"/>
        <family val="1"/>
      </rPr>
      <t>6</t>
    </r>
    <r>
      <rPr>
        <i/>
        <vertAlign val="subscript"/>
        <sz val="10"/>
        <color indexed="8"/>
        <rFont val="Arial"/>
        <family val="2"/>
      </rPr>
      <t xml:space="preserve"> </t>
    </r>
  </si>
  <si>
    <r>
      <t>II</t>
    </r>
    <r>
      <rPr>
        <sz val="10"/>
        <color indexed="8"/>
        <rFont val="Arial"/>
        <family val="2"/>
      </rPr>
      <t xml:space="preserve"> </t>
    </r>
    <r>
      <rPr>
        <i/>
        <sz val="12"/>
        <color indexed="8"/>
        <rFont val="Times New Roman"/>
        <family val="1"/>
      </rPr>
      <t>n</t>
    </r>
    <r>
      <rPr>
        <i/>
        <vertAlign val="subscript"/>
        <sz val="12"/>
        <color indexed="8"/>
        <rFont val="Times New Roman"/>
        <family val="1"/>
      </rPr>
      <t>k</t>
    </r>
    <r>
      <rPr>
        <vertAlign val="subscript"/>
        <sz val="12"/>
        <color indexed="8"/>
        <rFont val="Times New Roman"/>
        <family val="1"/>
      </rPr>
      <t>8</t>
    </r>
    <r>
      <rPr>
        <i/>
        <vertAlign val="subscript"/>
        <sz val="10"/>
        <color indexed="8"/>
        <rFont val="Arial"/>
        <family val="2"/>
      </rPr>
      <t xml:space="preserve"> </t>
    </r>
  </si>
  <si>
    <r>
      <t>r</t>
    </r>
    <r>
      <rPr>
        <i/>
        <vertAlign val="subscript"/>
        <sz val="12"/>
        <rFont val="Times New Roman"/>
        <family val="1"/>
      </rPr>
      <t>i</t>
    </r>
    <r>
      <rPr>
        <sz val="10"/>
        <rFont val="Arial"/>
        <family val="0"/>
      </rPr>
      <t>[m]</t>
    </r>
  </si>
  <si>
    <r>
      <t>n</t>
    </r>
    <r>
      <rPr>
        <i/>
        <vertAlign val="subscript"/>
        <sz val="12"/>
        <rFont val="Times New Roman"/>
        <family val="1"/>
      </rPr>
      <t>k</t>
    </r>
    <r>
      <rPr>
        <i/>
        <sz val="12"/>
        <rFont val="Times New Roman"/>
        <family val="1"/>
      </rPr>
      <t>r</t>
    </r>
    <r>
      <rPr>
        <i/>
        <vertAlign val="subscript"/>
        <sz val="12"/>
        <rFont val="Times New Roman"/>
        <family val="1"/>
      </rPr>
      <t>i</t>
    </r>
    <r>
      <rPr>
        <sz val="10"/>
        <rFont val="Arial"/>
        <family val="0"/>
      </rPr>
      <t>[m]</t>
    </r>
  </si>
  <si>
    <r>
      <t>n</t>
    </r>
    <r>
      <rPr>
        <i/>
        <vertAlign val="subscript"/>
        <sz val="12"/>
        <rFont val="Times New Roman"/>
        <family val="1"/>
      </rPr>
      <t>ok</t>
    </r>
    <r>
      <rPr>
        <sz val="10"/>
        <rFont val="Arial"/>
        <family val="0"/>
      </rPr>
      <t>[kom]</t>
    </r>
  </si>
  <si>
    <r>
      <t>S</t>
    </r>
    <r>
      <rPr>
        <i/>
        <sz val="12"/>
        <rFont val="Times New Roman"/>
        <family val="1"/>
      </rPr>
      <t>y</t>
    </r>
    <r>
      <rPr>
        <vertAlign val="subscript"/>
        <sz val="12"/>
        <rFont val="Times New Roman"/>
        <family val="1"/>
      </rPr>
      <t>2</t>
    </r>
  </si>
  <si>
    <r>
      <t>S</t>
    </r>
    <r>
      <rPr>
        <i/>
        <sz val="12"/>
        <rFont val="Times New Roman"/>
        <family val="1"/>
      </rPr>
      <t>y</t>
    </r>
    <r>
      <rPr>
        <vertAlign val="subscript"/>
        <sz val="12"/>
        <rFont val="Times New Roman"/>
        <family val="1"/>
      </rPr>
      <t>4</t>
    </r>
  </si>
  <si>
    <r>
      <t>S</t>
    </r>
    <r>
      <rPr>
        <i/>
        <sz val="12"/>
        <rFont val="Times New Roman"/>
        <family val="1"/>
      </rPr>
      <t>y</t>
    </r>
    <r>
      <rPr>
        <vertAlign val="subscript"/>
        <sz val="12"/>
        <rFont val="Times New Roman"/>
        <family val="1"/>
      </rPr>
      <t>6</t>
    </r>
  </si>
  <si>
    <r>
      <t>S</t>
    </r>
    <r>
      <rPr>
        <i/>
        <sz val="12"/>
        <rFont val="Times New Roman"/>
        <family val="1"/>
      </rPr>
      <t>y</t>
    </r>
    <r>
      <rPr>
        <vertAlign val="subscript"/>
        <sz val="12"/>
        <rFont val="Times New Roman"/>
        <family val="1"/>
      </rPr>
      <t>8</t>
    </r>
  </si>
  <si>
    <r>
      <t>S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y</t>
    </r>
    <r>
      <rPr>
        <vertAlign val="subscript"/>
        <sz val="12"/>
        <rFont val="Times New Roman"/>
        <family val="1"/>
      </rPr>
      <t>6</t>
    </r>
  </si>
  <si>
    <r>
      <t>S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y</t>
    </r>
    <r>
      <rPr>
        <vertAlign val="subscript"/>
        <sz val="12"/>
        <rFont val="Times New Roman"/>
        <family val="1"/>
      </rPr>
      <t>8</t>
    </r>
  </si>
  <si>
    <r>
      <t>S</t>
    </r>
    <r>
      <rPr>
        <sz val="10"/>
        <rFont val="Arial"/>
        <family val="0"/>
      </rPr>
      <t xml:space="preserve"> 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y</t>
    </r>
    <r>
      <rPr>
        <i/>
        <sz val="10"/>
        <rFont val="Times New Roman"/>
        <family val="1"/>
      </rPr>
      <t>r</t>
    </r>
    <r>
      <rPr>
        <i/>
        <vertAlign val="subscript"/>
        <sz val="12"/>
        <rFont val="Times New Roman"/>
        <family val="1"/>
      </rPr>
      <t>i</t>
    </r>
  </si>
  <si>
    <r>
      <t>n</t>
    </r>
    <r>
      <rPr>
        <vertAlign val="subscript"/>
        <sz val="12"/>
        <rFont val="Times New Roman"/>
        <family val="1"/>
      </rPr>
      <t>o</t>
    </r>
    <r>
      <rPr>
        <sz val="12"/>
        <rFont val="Arial"/>
        <family val="2"/>
      </rPr>
      <t>[kom]</t>
    </r>
  </si>
  <si>
    <r>
      <t>Polupresek = Broj "</t>
    </r>
    <r>
      <rPr>
        <i/>
        <sz val="10"/>
        <rFont val="Times New Roman"/>
        <family val="1"/>
      </rPr>
      <t>U</t>
    </r>
    <r>
      <rPr>
        <sz val="10"/>
        <rFont val="Arial"/>
        <family val="0"/>
      </rPr>
      <t xml:space="preserve">" cevi </t>
    </r>
    <r>
      <rPr>
        <i/>
        <sz val="12"/>
        <rFont val="Times New Roman"/>
        <family val="1"/>
      </rPr>
      <t>n</t>
    </r>
    <r>
      <rPr>
        <vertAlign val="subscript"/>
        <sz val="12"/>
        <rFont val="Times New Roman"/>
        <family val="1"/>
      </rPr>
      <t xml:space="preserve">1 </t>
    </r>
    <r>
      <rPr>
        <i/>
        <sz val="12"/>
        <rFont val="Times New Roman"/>
        <family val="1"/>
      </rPr>
      <t>= n/</t>
    </r>
    <r>
      <rPr>
        <sz val="12"/>
        <rFont val="Times New Roman"/>
        <family val="1"/>
      </rPr>
      <t>2</t>
    </r>
  </si>
  <si>
    <r>
      <t>H</t>
    </r>
    <r>
      <rPr>
        <i/>
        <vertAlign val="subscript"/>
        <sz val="12"/>
        <color indexed="8"/>
        <rFont val="Times New Roman"/>
        <family val="1"/>
      </rPr>
      <t>o</t>
    </r>
    <r>
      <rPr>
        <sz val="12"/>
        <color indexed="8"/>
        <rFont val="Times New Roman"/>
        <family val="1"/>
      </rPr>
      <t>/</t>
    </r>
    <r>
      <rPr>
        <i/>
        <sz val="12"/>
        <color indexed="8"/>
        <rFont val="Times New Roman"/>
        <family val="1"/>
      </rPr>
      <t>D</t>
    </r>
    <r>
      <rPr>
        <i/>
        <vertAlign val="subscript"/>
        <sz val="12"/>
        <color indexed="8"/>
        <rFont val="Times New Roman"/>
        <family val="1"/>
      </rPr>
      <t>u</t>
    </r>
  </si>
  <si>
    <r>
      <t>z</t>
    </r>
    <r>
      <rPr>
        <i/>
        <vertAlign val="subscript"/>
        <sz val="12"/>
        <rFont val="Times New Roman"/>
        <family val="1"/>
      </rPr>
      <t>r</t>
    </r>
    <r>
      <rPr>
        <sz val="11"/>
        <rFont val="Arial"/>
        <family val="2"/>
      </rPr>
      <t xml:space="preserve"> [</t>
    </r>
    <r>
      <rPr>
        <sz val="11"/>
        <rFont val="Symbol"/>
        <family val="1"/>
      </rPr>
      <t>-</t>
    </r>
    <r>
      <rPr>
        <sz val="11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</si>
  <si>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</t>
    </r>
    <r>
      <rPr>
        <sz val="11"/>
        <rFont val="Arial"/>
        <family val="2"/>
      </rPr>
      <t>[</t>
    </r>
    <r>
      <rPr>
        <sz val="11"/>
        <rFont val="Symbol"/>
        <family val="1"/>
      </rPr>
      <t>-</t>
    </r>
    <r>
      <rPr>
        <sz val="11"/>
        <rFont val="Arial"/>
        <family val="2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</si>
  <si>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ru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</si>
  <si>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ku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</si>
  <si>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r</t>
    </r>
    <r>
      <rPr>
        <sz val="10"/>
        <rFont val="Arial"/>
        <family val="0"/>
      </rPr>
      <t xml:space="preserve"> </t>
    </r>
    <r>
      <rPr>
        <sz val="11"/>
        <rFont val="Arial"/>
        <family val="2"/>
      </rPr>
      <t>[</t>
    </r>
    <r>
      <rPr>
        <sz val="11"/>
        <rFont val="Symbol"/>
        <family val="1"/>
      </rPr>
      <t>-</t>
    </r>
    <r>
      <rPr>
        <sz val="11"/>
        <rFont val="Arial"/>
        <family val="2"/>
      </rPr>
      <t>]</t>
    </r>
  </si>
  <si>
    <r>
      <t>z</t>
    </r>
    <r>
      <rPr>
        <i/>
        <vertAlign val="subscript"/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[</t>
    </r>
    <r>
      <rPr>
        <sz val="12"/>
        <rFont val="Symbol"/>
        <family val="1"/>
      </rPr>
      <t>-</t>
    </r>
    <r>
      <rPr>
        <sz val="12"/>
        <rFont val="Times New Roman"/>
        <family val="1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</si>
  <si>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o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</si>
  <si>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o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</si>
  <si>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p</t>
    </r>
    <r>
      <rPr>
        <vertAlign val="sub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</si>
  <si>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n</t>
    </r>
    <r>
      <rPr>
        <i/>
        <vertAlign val="subscript"/>
        <sz val="12"/>
        <color indexed="8"/>
        <rFont val="Times New Roman"/>
        <family val="1"/>
      </rPr>
      <t>p</t>
    </r>
    <r>
      <rPr>
        <vertAlign val="subscript"/>
        <sz val="12"/>
        <color indexed="8"/>
        <rFont val="Times New Roman"/>
        <family val="1"/>
      </rPr>
      <t>2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</si>
  <si>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t>GEOMETRIJSKE VELIČINE RAZMENJIVAČA TOPLOTE</t>
  </si>
  <si>
    <t>Početni vertikalni korak</t>
  </si>
  <si>
    <t>Početni horizontalni korak</t>
  </si>
  <si>
    <t>Vertikalni razmak između cevi</t>
  </si>
  <si>
    <t>Horizontalni razmak između cevi</t>
  </si>
  <si>
    <t>Dijagonalni razmak između cevi</t>
  </si>
  <si>
    <t>Broj prolaza u omotaču</t>
  </si>
  <si>
    <t>Položaj prvog otvora PLOČE (tip konfigur.)</t>
  </si>
  <si>
    <t>Ukupni broj otvora na cevnoj ploči</t>
  </si>
  <si>
    <r>
      <t>Minimalni razmak ose cevi od</t>
    </r>
    <r>
      <rPr>
        <i/>
        <sz val="11"/>
        <color indexed="8"/>
        <rFont val="Arial"/>
        <family val="2"/>
      </rPr>
      <t xml:space="preserve"> D</t>
    </r>
    <r>
      <rPr>
        <i/>
        <vertAlign val="subscript"/>
        <sz val="11"/>
        <color indexed="8"/>
        <rFont val="Arial"/>
        <family val="2"/>
      </rPr>
      <t>u</t>
    </r>
  </si>
  <si>
    <t>Spoljašnji prečnik omotača</t>
  </si>
  <si>
    <t>Debljina zida omotača</t>
  </si>
  <si>
    <t>Unutrašnji prečnik omotača</t>
  </si>
  <si>
    <r>
      <t xml:space="preserve">Zadat minimalni zazor </t>
    </r>
    <r>
      <rPr>
        <i/>
        <sz val="11"/>
        <color indexed="8"/>
        <rFont val="Arial"/>
        <family val="2"/>
      </rPr>
      <t>D</t>
    </r>
    <r>
      <rPr>
        <i/>
        <vertAlign val="subscript"/>
        <sz val="11"/>
        <color indexed="8"/>
        <rFont val="Arial"/>
        <family val="2"/>
      </rPr>
      <t>d</t>
    </r>
  </si>
  <si>
    <t>Spoljašnji prečnik cevi</t>
  </si>
  <si>
    <t>Unutra{nji prečnik cevi registra</t>
  </si>
  <si>
    <t>Maksimalni prečnik savijanja cevi</t>
  </si>
  <si>
    <t>GEOMETRIJA  OKNA za POPREČNO STRUJANJE U PLAŠTU</t>
  </si>
  <si>
    <t>Broj prvog reda početka okna</t>
  </si>
  <si>
    <t>Najveća visina okna</t>
  </si>
  <si>
    <t>Odnos visine okna i prečnika omotača</t>
  </si>
  <si>
    <t>Broj cevi u oknu po preseku omotača</t>
  </si>
  <si>
    <t>Broj poprečno nastr. cevi neparna kol.</t>
  </si>
  <si>
    <t>Broj poprečno nastr. cevi parna kol.</t>
  </si>
  <si>
    <t>Tekući</t>
  </si>
  <si>
    <t>Površina lukova</t>
  </si>
  <si>
    <r>
      <t xml:space="preserve">Ukupni broj otvora </t>
    </r>
    <r>
      <rPr>
        <i/>
        <sz val="12"/>
        <rFont val="Arial"/>
        <family val="2"/>
      </rPr>
      <t>n</t>
    </r>
    <r>
      <rPr>
        <sz val="10"/>
        <rFont val="Arial"/>
        <family val="2"/>
      </rPr>
      <t xml:space="preserve"> na cevnoj ploči</t>
    </r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</si>
</sst>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00000"/>
    <numFmt numFmtId="181" formatCode="0.00;[Red]0.00"/>
    <numFmt numFmtId="182" formatCode="0.0;[Red]0.0"/>
    <numFmt numFmtId="183" formatCode="0;[Red]0"/>
    <numFmt numFmtId="184" formatCode="0.0%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dd\-mmm\-yy"/>
    <numFmt numFmtId="193" formatCode="dd/mm/yyyy"/>
    <numFmt numFmtId="194" formatCode="0.000000000"/>
    <numFmt numFmtId="195" formatCode="0.0000000000"/>
    <numFmt numFmtId="196" formatCode="0.00000000000"/>
    <numFmt numFmtId="197" formatCode="0.000000000000"/>
    <numFmt numFmtId="198" formatCode="&quot;Da&quot;;&quot;Da&quot;;&quot;Ne&quot;"/>
    <numFmt numFmtId="199" formatCode="&quot;Istina&quot;;&quot;Istina&quot;;&quot;Laž&quot;"/>
    <numFmt numFmtId="200" formatCode="&quot;Uključeno&quot;;&quot;Uključeno&quot;;&quot;Isključeno&quot;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ymbol"/>
      <family val="1"/>
    </font>
    <font>
      <sz val="10"/>
      <name val="YU L Swiss"/>
      <family val="2"/>
    </font>
    <font>
      <sz val="11"/>
      <name val="Arial"/>
      <family val="2"/>
    </font>
    <font>
      <sz val="8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12"/>
      <name val="Bahamas Bold YU"/>
      <family val="2"/>
    </font>
    <font>
      <sz val="10"/>
      <color indexed="20"/>
      <name val="YU L Umrela"/>
      <family val="2"/>
    </font>
    <font>
      <sz val="10"/>
      <color indexed="12"/>
      <name val="Bahamas YU"/>
      <family val="2"/>
    </font>
    <font>
      <sz val="12"/>
      <color indexed="33"/>
      <name val="YU L Swiss"/>
      <family val="2"/>
    </font>
    <font>
      <b/>
      <sz val="12"/>
      <color indexed="33"/>
      <name val="YU L Swiss"/>
      <family val="2"/>
    </font>
    <font>
      <sz val="10"/>
      <color indexed="10"/>
      <name val="YU L Swiss"/>
      <family val="2"/>
    </font>
    <font>
      <sz val="10"/>
      <color indexed="8"/>
      <name val="Arial"/>
      <family val="2"/>
    </font>
    <font>
      <sz val="12"/>
      <name val="Arial"/>
      <family val="2"/>
    </font>
    <font>
      <vertAlign val="sub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YU L Swiss"/>
      <family val="2"/>
    </font>
    <font>
      <b/>
      <sz val="12"/>
      <color indexed="20"/>
      <name val="Arial"/>
      <family val="2"/>
    </font>
    <font>
      <sz val="10"/>
      <color indexed="16"/>
      <name val="Arial"/>
      <family val="0"/>
    </font>
    <font>
      <sz val="10"/>
      <color indexed="21"/>
      <name val="YU L Swiss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sz val="12"/>
      <color indexed="8"/>
      <name val="Arial"/>
      <family val="2"/>
    </font>
    <font>
      <b/>
      <sz val="12"/>
      <color indexed="19"/>
      <name val="Arial"/>
      <family val="2"/>
    </font>
    <font>
      <b/>
      <sz val="10"/>
      <color indexed="19"/>
      <name val="Arial"/>
      <family val="2"/>
    </font>
    <font>
      <b/>
      <sz val="10"/>
      <color indexed="60"/>
      <name val="Arial"/>
      <family val="2"/>
    </font>
    <font>
      <sz val="12"/>
      <color indexed="8"/>
      <name val="Symbol"/>
      <family val="1"/>
    </font>
    <font>
      <b/>
      <sz val="12"/>
      <color indexed="16"/>
      <name val="Arial"/>
      <family val="2"/>
    </font>
    <font>
      <b/>
      <sz val="12"/>
      <color indexed="6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name val="Arial"/>
      <family val="2"/>
    </font>
    <font>
      <sz val="11"/>
      <color indexed="8"/>
      <name val="YU L Swiss"/>
      <family val="2"/>
    </font>
    <font>
      <sz val="10"/>
      <color indexed="12"/>
      <name val="Yu Helvetica"/>
      <family val="2"/>
    </font>
    <font>
      <sz val="10"/>
      <color indexed="20"/>
      <name val="Yu Helvetica"/>
      <family val="2"/>
    </font>
    <font>
      <vertAlign val="subscript"/>
      <sz val="11"/>
      <color indexed="8"/>
      <name val="Arial"/>
      <family val="2"/>
    </font>
    <font>
      <sz val="11"/>
      <color indexed="8"/>
      <name val="Symbol"/>
      <family val="1"/>
    </font>
    <font>
      <sz val="8"/>
      <color indexed="12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i/>
      <sz val="12"/>
      <color indexed="8"/>
      <name val="Arial"/>
      <family val="2"/>
    </font>
    <font>
      <i/>
      <vertAlign val="subscript"/>
      <sz val="12"/>
      <color indexed="8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i/>
      <sz val="10"/>
      <name val="Symbol"/>
      <family val="1"/>
    </font>
    <font>
      <i/>
      <sz val="11"/>
      <color indexed="8"/>
      <name val="YU L Swiss"/>
      <family val="2"/>
    </font>
    <font>
      <vertAlign val="subscript"/>
      <sz val="11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i/>
      <vertAlign val="subscript"/>
      <sz val="10"/>
      <color indexed="8"/>
      <name val="Arial"/>
      <family val="2"/>
    </font>
    <font>
      <i/>
      <sz val="12"/>
      <name val="Arial"/>
      <family val="2"/>
    </font>
    <font>
      <sz val="20"/>
      <color indexed="21"/>
      <name val="Arial"/>
      <family val="2"/>
    </font>
    <font>
      <i/>
      <sz val="11"/>
      <color indexed="8"/>
      <name val="Arial"/>
      <family val="2"/>
    </font>
    <font>
      <i/>
      <vertAlign val="subscript"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7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6" fillId="3" borderId="7" xfId="0" applyFont="1" applyFill="1" applyBorder="1" applyAlignment="1" applyProtection="1">
      <alignment vertical="center"/>
      <protection hidden="1"/>
    </xf>
    <xf numFmtId="0" fontId="15" fillId="3" borderId="7" xfId="0" applyFont="1" applyFill="1" applyBorder="1" applyAlignment="1" applyProtection="1">
      <alignment vertical="center"/>
      <protection hidden="1"/>
    </xf>
    <xf numFmtId="0" fontId="16" fillId="3" borderId="2" xfId="0" applyFont="1" applyFill="1" applyBorder="1" applyAlignment="1" applyProtection="1">
      <alignment vertical="center"/>
      <protection hidden="1"/>
    </xf>
    <xf numFmtId="0" fontId="15" fillId="3" borderId="2" xfId="0" applyFont="1" applyFill="1" applyBorder="1" applyAlignment="1" applyProtection="1">
      <alignment vertical="center"/>
      <protection hidden="1"/>
    </xf>
    <xf numFmtId="0" fontId="19" fillId="3" borderId="3" xfId="0" applyFont="1" applyFill="1" applyBorder="1" applyAlignment="1" applyProtection="1">
      <alignment horizontal="right"/>
      <protection hidden="1"/>
    </xf>
    <xf numFmtId="0" fontId="16" fillId="3" borderId="8" xfId="0" applyFont="1" applyFill="1" applyBorder="1" applyAlignment="1" applyProtection="1">
      <alignment vertical="center"/>
      <protection hidden="1"/>
    </xf>
    <xf numFmtId="0" fontId="15" fillId="3" borderId="8" xfId="0" applyFont="1" applyFill="1" applyBorder="1" applyAlignment="1" applyProtection="1">
      <alignment vertical="center"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0" fontId="19" fillId="3" borderId="9" xfId="0" applyFont="1" applyFill="1" applyBorder="1" applyAlignment="1" applyProtection="1">
      <alignment horizontal="right"/>
      <protection hidden="1"/>
    </xf>
    <xf numFmtId="0" fontId="19" fillId="3" borderId="10" xfId="0" applyFont="1" applyFill="1" applyBorder="1" applyAlignment="1" applyProtection="1">
      <alignment horizontal="right"/>
      <protection hidden="1"/>
    </xf>
    <xf numFmtId="0" fontId="19" fillId="3" borderId="8" xfId="0" applyFont="1" applyFill="1" applyBorder="1" applyAlignment="1" applyProtection="1">
      <alignment horizontal="right"/>
      <protection hidden="1"/>
    </xf>
    <xf numFmtId="0" fontId="32" fillId="4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7" fillId="3" borderId="9" xfId="0" applyFont="1" applyFill="1" applyBorder="1" applyAlignment="1" applyProtection="1">
      <alignment vertical="center"/>
      <protection hidden="1"/>
    </xf>
    <xf numFmtId="0" fontId="41" fillId="0" borderId="0" xfId="0" applyFont="1" applyAlignment="1" applyProtection="1">
      <alignment/>
      <protection hidden="1"/>
    </xf>
    <xf numFmtId="0" fontId="33" fillId="3" borderId="9" xfId="0" applyFont="1" applyFill="1" applyBorder="1" applyAlignment="1" applyProtection="1">
      <alignment horizontal="center"/>
      <protection hidden="1"/>
    </xf>
    <xf numFmtId="0" fontId="17" fillId="3" borderId="10" xfId="0" applyFont="1" applyFill="1" applyBorder="1" applyAlignment="1" applyProtection="1">
      <alignment vertical="center"/>
      <protection hidden="1"/>
    </xf>
    <xf numFmtId="0" fontId="19" fillId="3" borderId="11" xfId="0" applyFont="1" applyFill="1" applyBorder="1" applyAlignment="1" applyProtection="1">
      <alignment horizontal="right"/>
      <protection hidden="1"/>
    </xf>
    <xf numFmtId="0" fontId="0" fillId="3" borderId="7" xfId="0" applyFill="1" applyBorder="1" applyAlignment="1" applyProtection="1">
      <alignment/>
      <protection hidden="1"/>
    </xf>
    <xf numFmtId="0" fontId="21" fillId="4" borderId="1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17" fillId="3" borderId="11" xfId="0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8" fillId="0" borderId="0" xfId="0" applyFont="1" applyAlignment="1" applyProtection="1">
      <alignment/>
      <protection hidden="1"/>
    </xf>
    <xf numFmtId="0" fontId="21" fillId="4" borderId="1" xfId="0" applyFont="1" applyFill="1" applyBorder="1" applyAlignment="1" applyProtection="1">
      <alignment horizontal="center"/>
      <protection hidden="1"/>
    </xf>
    <xf numFmtId="0" fontId="35" fillId="4" borderId="1" xfId="0" applyFont="1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9" fontId="32" fillId="4" borderId="6" xfId="16" applyFont="1" applyFill="1" applyBorder="1" applyAlignment="1" applyProtection="1">
      <alignment horizontal="center"/>
      <protection hidden="1"/>
    </xf>
    <xf numFmtId="9" fontId="36" fillId="4" borderId="6" xfId="16" applyFont="1" applyFill="1" applyBorder="1" applyAlignment="1" applyProtection="1">
      <alignment horizontal="center"/>
      <protection hidden="1"/>
    </xf>
    <xf numFmtId="0" fontId="32" fillId="3" borderId="13" xfId="0" applyFont="1" applyFill="1" applyBorder="1" applyAlignment="1" applyProtection="1">
      <alignment horizontal="center"/>
      <protection hidden="1"/>
    </xf>
    <xf numFmtId="0" fontId="32" fillId="3" borderId="14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/>
      <protection hidden="1"/>
    </xf>
    <xf numFmtId="0" fontId="18" fillId="3" borderId="16" xfId="0" applyFont="1" applyFill="1" applyBorder="1" applyAlignment="1" applyProtection="1">
      <alignment horizontal="center"/>
      <protection hidden="1"/>
    </xf>
    <xf numFmtId="0" fontId="32" fillId="4" borderId="17" xfId="0" applyFont="1" applyFill="1" applyBorder="1" applyAlignment="1" applyProtection="1">
      <alignment horizontal="center"/>
      <protection hidden="1"/>
    </xf>
    <xf numFmtId="0" fontId="36" fillId="4" borderId="17" xfId="0" applyFont="1" applyFill="1" applyBorder="1" applyAlignment="1" applyProtection="1">
      <alignment horizontal="center"/>
      <protection hidden="1"/>
    </xf>
    <xf numFmtId="0" fontId="39" fillId="4" borderId="18" xfId="0" applyFont="1" applyFill="1" applyBorder="1" applyAlignment="1" applyProtection="1">
      <alignment horizontal="center"/>
      <protection hidden="1"/>
    </xf>
    <xf numFmtId="0" fontId="21" fillId="4" borderId="19" xfId="0" applyFont="1" applyFill="1" applyBorder="1" applyAlignment="1" applyProtection="1">
      <alignment horizontal="center"/>
      <protection hidden="1"/>
    </xf>
    <xf numFmtId="0" fontId="40" fillId="4" borderId="5" xfId="0" applyFont="1" applyFill="1" applyBorder="1" applyAlignment="1" applyProtection="1">
      <alignment horizontal="center"/>
      <protection hidden="1"/>
    </xf>
    <xf numFmtId="0" fontId="23" fillId="4" borderId="5" xfId="0" applyFont="1" applyFill="1" applyBorder="1" applyAlignment="1" applyProtection="1">
      <alignment horizontal="center"/>
      <protection hidden="1"/>
    </xf>
    <xf numFmtId="0" fontId="21" fillId="4" borderId="5" xfId="0" applyFont="1" applyFill="1" applyBorder="1" applyAlignment="1" applyProtection="1">
      <alignment horizontal="center"/>
      <protection hidden="1"/>
    </xf>
    <xf numFmtId="0" fontId="35" fillId="4" borderId="20" xfId="0" applyFont="1" applyFill="1" applyBorder="1" applyAlignment="1" applyProtection="1">
      <alignment horizontal="center"/>
      <protection hidden="1"/>
    </xf>
    <xf numFmtId="0" fontId="18" fillId="3" borderId="21" xfId="0" applyFont="1" applyFill="1" applyBorder="1" applyAlignment="1" applyProtection="1">
      <alignment horizontal="center"/>
      <protection hidden="1"/>
    </xf>
    <xf numFmtId="0" fontId="32" fillId="4" borderId="22" xfId="0" applyFont="1" applyFill="1" applyBorder="1" applyAlignment="1" applyProtection="1">
      <alignment horizontal="center"/>
      <protection hidden="1"/>
    </xf>
    <xf numFmtId="0" fontId="36" fillId="4" borderId="22" xfId="0" applyFont="1" applyFill="1" applyBorder="1" applyAlignment="1" applyProtection="1">
      <alignment horizontal="center"/>
      <protection hidden="1"/>
    </xf>
    <xf numFmtId="0" fontId="29" fillId="4" borderId="22" xfId="0" applyFont="1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/>
      <protection hidden="1"/>
    </xf>
    <xf numFmtId="0" fontId="0" fillId="3" borderId="24" xfId="0" applyFill="1" applyBorder="1" applyAlignment="1" applyProtection="1">
      <alignment/>
      <protection hidden="1"/>
    </xf>
    <xf numFmtId="0" fontId="18" fillId="3" borderId="12" xfId="0" applyFont="1" applyFill="1" applyBorder="1" applyAlignment="1" applyProtection="1">
      <alignment horizontal="center"/>
      <protection hidden="1"/>
    </xf>
    <xf numFmtId="0" fontId="1" fillId="4" borderId="25" xfId="0" applyFont="1" applyFill="1" applyBorder="1" applyAlignment="1" applyProtection="1">
      <alignment horizontal="center"/>
      <protection hidden="1"/>
    </xf>
    <xf numFmtId="0" fontId="37" fillId="4" borderId="6" xfId="0" applyFont="1" applyFill="1" applyBorder="1" applyAlignment="1" applyProtection="1">
      <alignment horizontal="center"/>
      <protection hidden="1"/>
    </xf>
    <xf numFmtId="0" fontId="22" fillId="4" borderId="6" xfId="0" applyFont="1" applyFill="1" applyBorder="1" applyAlignment="1" applyProtection="1">
      <alignment horizontal="center"/>
      <protection hidden="1"/>
    </xf>
    <xf numFmtId="0" fontId="32" fillId="4" borderId="6" xfId="0" applyFont="1" applyFill="1" applyBorder="1" applyAlignment="1" applyProtection="1">
      <alignment horizontal="center"/>
      <protection hidden="1"/>
    </xf>
    <xf numFmtId="0" fontId="36" fillId="4" borderId="26" xfId="0" applyFont="1" applyFill="1" applyBorder="1" applyAlignment="1" applyProtection="1">
      <alignment horizontal="center"/>
      <protection hidden="1"/>
    </xf>
    <xf numFmtId="0" fontId="18" fillId="3" borderId="27" xfId="0" applyFont="1" applyFill="1" applyBorder="1" applyAlignment="1" applyProtection="1">
      <alignment horizontal="center"/>
      <protection hidden="1"/>
    </xf>
    <xf numFmtId="0" fontId="32" fillId="4" borderId="18" xfId="0" applyFont="1" applyFill="1" applyBorder="1" applyAlignment="1" applyProtection="1">
      <alignment horizontal="center"/>
      <protection hidden="1"/>
    </xf>
    <xf numFmtId="0" fontId="36" fillId="4" borderId="18" xfId="0" applyFont="1" applyFill="1" applyBorder="1" applyAlignment="1" applyProtection="1">
      <alignment horizontal="center"/>
      <protection hidden="1"/>
    </xf>
    <xf numFmtId="0" fontId="0" fillId="4" borderId="27" xfId="0" applyFill="1" applyBorder="1" applyAlignment="1" applyProtection="1">
      <alignment horizontal="center"/>
      <protection hidden="1"/>
    </xf>
    <xf numFmtId="0" fontId="0" fillId="4" borderId="18" xfId="0" applyFont="1" applyFill="1" applyBorder="1" applyAlignment="1" applyProtection="1">
      <alignment horizontal="center"/>
      <protection hidden="1"/>
    </xf>
    <xf numFmtId="0" fontId="18" fillId="3" borderId="28" xfId="0" applyFont="1" applyFill="1" applyBorder="1" applyAlignment="1" applyProtection="1">
      <alignment horizontal="center"/>
      <protection hidden="1"/>
    </xf>
    <xf numFmtId="0" fontId="1" fillId="4" borderId="29" xfId="0" applyFont="1" applyFill="1" applyBorder="1" applyAlignment="1" applyProtection="1">
      <alignment horizontal="center"/>
      <protection hidden="1"/>
    </xf>
    <xf numFmtId="0" fontId="37" fillId="4" borderId="30" xfId="0" applyFont="1" applyFill="1" applyBorder="1" applyAlignment="1" applyProtection="1">
      <alignment horizontal="center"/>
      <protection hidden="1"/>
    </xf>
    <xf numFmtId="0" fontId="22" fillId="4" borderId="30" xfId="0" applyFont="1" applyFill="1" applyBorder="1" applyAlignment="1" applyProtection="1">
      <alignment horizontal="center"/>
      <protection hidden="1"/>
    </xf>
    <xf numFmtId="0" fontId="32" fillId="4" borderId="30" xfId="0" applyFont="1" applyFill="1" applyBorder="1" applyAlignment="1" applyProtection="1">
      <alignment horizontal="center"/>
      <protection hidden="1"/>
    </xf>
    <xf numFmtId="0" fontId="36" fillId="4" borderId="31" xfId="0" applyFont="1" applyFill="1" applyBorder="1" applyAlignment="1" applyProtection="1">
      <alignment horizontal="center"/>
      <protection hidden="1"/>
    </xf>
    <xf numFmtId="0" fontId="18" fillId="3" borderId="23" xfId="0" applyFont="1" applyFill="1" applyBorder="1" applyAlignment="1" applyProtection="1">
      <alignment horizontal="center"/>
      <protection hidden="1"/>
    </xf>
    <xf numFmtId="0" fontId="1" fillId="4" borderId="19" xfId="0" applyFont="1" applyFill="1" applyBorder="1" applyAlignment="1" applyProtection="1">
      <alignment horizontal="center"/>
      <protection hidden="1"/>
    </xf>
    <xf numFmtId="0" fontId="37" fillId="4" borderId="5" xfId="0" applyFont="1" applyFill="1" applyBorder="1" applyAlignment="1" applyProtection="1">
      <alignment horizontal="center"/>
      <protection hidden="1"/>
    </xf>
    <xf numFmtId="0" fontId="22" fillId="4" borderId="5" xfId="0" applyFont="1" applyFill="1" applyBorder="1" applyAlignment="1" applyProtection="1">
      <alignment horizontal="center"/>
      <protection hidden="1"/>
    </xf>
    <xf numFmtId="0" fontId="32" fillId="4" borderId="5" xfId="0" applyFont="1" applyFill="1" applyBorder="1" applyAlignment="1" applyProtection="1">
      <alignment horizontal="center"/>
      <protection hidden="1"/>
    </xf>
    <xf numFmtId="0" fontId="36" fillId="4" borderId="20" xfId="0" applyFont="1" applyFill="1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 horizontal="center"/>
      <protection hidden="1"/>
    </xf>
    <xf numFmtId="0" fontId="0" fillId="4" borderId="22" xfId="0" applyFont="1" applyFill="1" applyBorder="1" applyAlignment="1" applyProtection="1">
      <alignment horizontal="center"/>
      <protection hidden="1"/>
    </xf>
    <xf numFmtId="0" fontId="1" fillId="4" borderId="32" xfId="0" applyFont="1" applyFill="1" applyBorder="1" applyAlignment="1" applyProtection="1">
      <alignment horizontal="center"/>
      <protection hidden="1"/>
    </xf>
    <xf numFmtId="0" fontId="37" fillId="4" borderId="33" xfId="0" applyFont="1" applyFill="1" applyBorder="1" applyAlignment="1" applyProtection="1">
      <alignment horizontal="center"/>
      <protection hidden="1"/>
    </xf>
    <xf numFmtId="0" fontId="22" fillId="4" borderId="33" xfId="0" applyFont="1" applyFill="1" applyBorder="1" applyAlignment="1" applyProtection="1">
      <alignment horizontal="center"/>
      <protection hidden="1"/>
    </xf>
    <xf numFmtId="0" fontId="32" fillId="4" borderId="33" xfId="0" applyFont="1" applyFill="1" applyBorder="1" applyAlignment="1" applyProtection="1">
      <alignment horizontal="center"/>
      <protection hidden="1"/>
    </xf>
    <xf numFmtId="0" fontId="36" fillId="4" borderId="34" xfId="0" applyFont="1" applyFill="1" applyBorder="1" applyAlignment="1" applyProtection="1">
      <alignment horizontal="center"/>
      <protection hidden="1"/>
    </xf>
    <xf numFmtId="0" fontId="18" fillId="3" borderId="35" xfId="0" applyFont="1" applyFill="1" applyBorder="1" applyAlignment="1" applyProtection="1">
      <alignment horizontal="center"/>
      <protection hidden="1"/>
    </xf>
    <xf numFmtId="0" fontId="32" fillId="4" borderId="36" xfId="0" applyFont="1" applyFill="1" applyBorder="1" applyAlignment="1" applyProtection="1">
      <alignment horizontal="center"/>
      <protection hidden="1"/>
    </xf>
    <xf numFmtId="0" fontId="36" fillId="4" borderId="36" xfId="0" applyFont="1" applyFill="1" applyBorder="1" applyAlignment="1" applyProtection="1">
      <alignment horizontal="center"/>
      <protection hidden="1"/>
    </xf>
    <xf numFmtId="0" fontId="0" fillId="4" borderId="35" xfId="0" applyFill="1" applyBorder="1" applyAlignment="1" applyProtection="1">
      <alignment horizontal="center"/>
      <protection hidden="1"/>
    </xf>
    <xf numFmtId="0" fontId="0" fillId="4" borderId="36" xfId="0" applyFont="1" applyFill="1" applyBorder="1" applyAlignment="1" applyProtection="1">
      <alignment horizontal="center"/>
      <protection hidden="1"/>
    </xf>
    <xf numFmtId="0" fontId="35" fillId="4" borderId="23" xfId="0" applyFont="1" applyFill="1" applyBorder="1" applyAlignment="1" applyProtection="1">
      <alignment horizontal="center"/>
      <protection hidden="1"/>
    </xf>
    <xf numFmtId="0" fontId="7" fillId="3" borderId="30" xfId="0" applyFont="1" applyFill="1" applyBorder="1" applyAlignment="1" applyProtection="1">
      <alignment horizontal="center"/>
      <protection hidden="1"/>
    </xf>
    <xf numFmtId="0" fontId="36" fillId="4" borderId="30" xfId="0" applyFont="1" applyFill="1" applyBorder="1" applyAlignment="1" applyProtection="1">
      <alignment horizontal="center"/>
      <protection hidden="1"/>
    </xf>
    <xf numFmtId="0" fontId="29" fillId="4" borderId="1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center"/>
      <protection hidden="1"/>
    </xf>
    <xf numFmtId="0" fontId="36" fillId="4" borderId="5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184" fontId="32" fillId="4" borderId="1" xfId="16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0" fillId="3" borderId="37" xfId="0" applyFill="1" applyBorder="1" applyAlignment="1" applyProtection="1">
      <alignment horizontal="center"/>
      <protection hidden="1"/>
    </xf>
    <xf numFmtId="0" fontId="0" fillId="3" borderId="38" xfId="0" applyFill="1" applyBorder="1" applyAlignment="1" applyProtection="1">
      <alignment horizontal="center"/>
      <protection hidden="1"/>
    </xf>
    <xf numFmtId="0" fontId="0" fillId="3" borderId="39" xfId="0" applyFill="1" applyBorder="1" applyAlignment="1" applyProtection="1">
      <alignment horizontal="center"/>
      <protection hidden="1"/>
    </xf>
    <xf numFmtId="0" fontId="0" fillId="4" borderId="38" xfId="0" applyFill="1" applyBorder="1" applyAlignment="1" applyProtection="1">
      <alignment horizontal="center"/>
      <protection hidden="1"/>
    </xf>
    <xf numFmtId="0" fontId="0" fillId="4" borderId="39" xfId="0" applyFill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0" fillId="4" borderId="40" xfId="0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49" fillId="0" borderId="0" xfId="0" applyFont="1" applyAlignment="1" applyProtection="1">
      <alignment horizontal="right"/>
      <protection hidden="1"/>
    </xf>
    <xf numFmtId="0" fontId="58" fillId="3" borderId="1" xfId="0" applyFont="1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left" vertical="center"/>
      <protection hidden="1"/>
    </xf>
    <xf numFmtId="0" fontId="58" fillId="3" borderId="41" xfId="0" applyFont="1" applyFill="1" applyBorder="1" applyAlignment="1" applyProtection="1">
      <alignment horizontal="center" vertical="center"/>
      <protection hidden="1"/>
    </xf>
    <xf numFmtId="0" fontId="58" fillId="3" borderId="21" xfId="0" applyFont="1" applyFill="1" applyBorder="1" applyAlignment="1" applyProtection="1">
      <alignment horizontal="center"/>
      <protection hidden="1"/>
    </xf>
    <xf numFmtId="0" fontId="44" fillId="3" borderId="3" xfId="0" applyFont="1" applyFill="1" applyBorder="1" applyAlignment="1" applyProtection="1">
      <alignment horizontal="center"/>
      <protection hidden="1"/>
    </xf>
    <xf numFmtId="0" fontId="66" fillId="3" borderId="19" xfId="0" applyFont="1" applyFill="1" applyBorder="1" applyAlignment="1" applyProtection="1">
      <alignment horizontal="center"/>
      <protection hidden="1"/>
    </xf>
    <xf numFmtId="0" fontId="58" fillId="3" borderId="5" xfId="0" applyFont="1" applyFill="1" applyBorder="1" applyAlignment="1" applyProtection="1">
      <alignment horizontal="center"/>
      <protection hidden="1"/>
    </xf>
    <xf numFmtId="0" fontId="42" fillId="3" borderId="42" xfId="0" applyFont="1" applyFill="1" applyBorder="1" applyAlignment="1" applyProtection="1">
      <alignment horizontal="center"/>
      <protection hidden="1"/>
    </xf>
    <xf numFmtId="0" fontId="58" fillId="3" borderId="22" xfId="0" applyFont="1" applyFill="1" applyBorder="1" applyAlignment="1" applyProtection="1">
      <alignment horizontal="center"/>
      <protection hidden="1"/>
    </xf>
    <xf numFmtId="0" fontId="58" fillId="3" borderId="39" xfId="0" applyFon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 applyProtection="1">
      <alignment horizontal="center"/>
      <protection hidden="1"/>
    </xf>
    <xf numFmtId="0" fontId="58" fillId="3" borderId="23" xfId="0" applyFont="1" applyFill="1" applyBorder="1" applyAlignment="1" applyProtection="1">
      <alignment horizontal="center"/>
      <protection hidden="1"/>
    </xf>
    <xf numFmtId="0" fontId="6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8" fillId="0" borderId="0" xfId="0" applyFont="1" applyFill="1" applyBorder="1" applyAlignment="1" applyProtection="1">
      <alignment horizontal="center"/>
      <protection hidden="1"/>
    </xf>
    <xf numFmtId="0" fontId="52" fillId="3" borderId="3" xfId="0" applyFont="1" applyFill="1" applyBorder="1" applyAlignment="1" applyProtection="1">
      <alignment horizontal="right"/>
      <protection hidden="1"/>
    </xf>
    <xf numFmtId="0" fontId="58" fillId="3" borderId="3" xfId="0" applyFont="1" applyFill="1" applyBorder="1" applyAlignment="1" applyProtection="1">
      <alignment horizontal="right"/>
      <protection hidden="1"/>
    </xf>
    <xf numFmtId="0" fontId="53" fillId="3" borderId="3" xfId="0" applyFont="1" applyFill="1" applyBorder="1" applyAlignment="1" applyProtection="1">
      <alignment horizontal="right"/>
      <protection hidden="1"/>
    </xf>
    <xf numFmtId="0" fontId="58" fillId="3" borderId="1" xfId="0" applyFont="1" applyFill="1" applyBorder="1" applyAlignment="1" applyProtection="1">
      <alignment horizontal="right"/>
      <protection hidden="1"/>
    </xf>
    <xf numFmtId="0" fontId="53" fillId="3" borderId="1" xfId="0" applyFont="1" applyFill="1" applyBorder="1" applyAlignment="1" applyProtection="1">
      <alignment horizontal="right"/>
      <protection hidden="1"/>
    </xf>
    <xf numFmtId="0" fontId="53" fillId="3" borderId="1" xfId="0" applyFont="1" applyFill="1" applyBorder="1" applyAlignment="1" applyProtection="1">
      <alignment horizontal="right" vertical="top"/>
      <protection hidden="1"/>
    </xf>
    <xf numFmtId="0" fontId="52" fillId="3" borderId="0" xfId="0" applyFont="1" applyFill="1" applyAlignment="1" applyProtection="1">
      <alignment horizontal="right"/>
      <protection hidden="1"/>
    </xf>
    <xf numFmtId="0" fontId="58" fillId="3" borderId="5" xfId="0" applyFont="1" applyFill="1" applyBorder="1" applyAlignment="1" applyProtection="1">
      <alignment horizontal="right"/>
      <protection hidden="1"/>
    </xf>
    <xf numFmtId="0" fontId="58" fillId="3" borderId="21" xfId="0" applyFont="1" applyFill="1" applyBorder="1" applyAlignment="1" applyProtection="1">
      <alignment horizontal="right"/>
      <protection hidden="1"/>
    </xf>
    <xf numFmtId="0" fontId="63" fillId="3" borderId="43" xfId="0" applyFont="1" applyFill="1" applyBorder="1" applyAlignment="1" applyProtection="1">
      <alignment horizontal="right"/>
      <protection hidden="1"/>
    </xf>
    <xf numFmtId="0" fontId="4" fillId="3" borderId="5" xfId="0" applyFont="1" applyFill="1" applyBorder="1" applyAlignment="1" applyProtection="1">
      <alignment horizontal="right"/>
      <protection hidden="1"/>
    </xf>
    <xf numFmtId="0" fontId="58" fillId="3" borderId="27" xfId="0" applyFont="1" applyFill="1" applyBorder="1" applyAlignment="1" applyProtection="1">
      <alignment horizontal="right"/>
      <protection hidden="1"/>
    </xf>
    <xf numFmtId="0" fontId="4" fillId="3" borderId="6" xfId="0" applyFont="1" applyFill="1" applyBorder="1" applyAlignment="1" applyProtection="1">
      <alignment horizontal="right"/>
      <protection hidden="1"/>
    </xf>
    <xf numFmtId="0" fontId="58" fillId="3" borderId="44" xfId="0" applyFont="1" applyFill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34" fillId="3" borderId="0" xfId="0" applyFont="1" applyFill="1" applyBorder="1" applyAlignment="1" applyProtection="1">
      <alignment horizontal="left" vertical="center"/>
      <protection hidden="1"/>
    </xf>
    <xf numFmtId="0" fontId="42" fillId="3" borderId="12" xfId="0" applyFont="1" applyFill="1" applyBorder="1" applyAlignment="1" applyProtection="1">
      <alignment horizontal="left" vertical="center"/>
      <protection hidden="1"/>
    </xf>
    <xf numFmtId="0" fontId="42" fillId="3" borderId="28" xfId="0" applyFont="1" applyFill="1" applyBorder="1" applyAlignment="1" applyProtection="1">
      <alignment horizontal="left" vertical="center"/>
      <protection hidden="1"/>
    </xf>
    <xf numFmtId="0" fontId="42" fillId="3" borderId="23" xfId="0" applyFont="1" applyFill="1" applyBorder="1" applyAlignment="1" applyProtection="1">
      <alignment horizontal="left" vertical="center"/>
      <protection hidden="1"/>
    </xf>
    <xf numFmtId="0" fontId="42" fillId="3" borderId="8" xfId="0" applyFont="1" applyFill="1" applyBorder="1" applyAlignment="1" applyProtection="1">
      <alignment horizontal="left" vertical="center"/>
      <protection hidden="1"/>
    </xf>
    <xf numFmtId="0" fontId="42" fillId="3" borderId="4" xfId="0" applyFont="1" applyFill="1" applyBorder="1" applyAlignment="1" applyProtection="1">
      <alignment/>
      <protection hidden="1"/>
    </xf>
    <xf numFmtId="0" fontId="42" fillId="3" borderId="4" xfId="0" applyFont="1" applyFill="1" applyBorder="1" applyAlignment="1" applyProtection="1">
      <alignment horizontal="left" vertical="center"/>
      <protection hidden="1"/>
    </xf>
    <xf numFmtId="0" fontId="18" fillId="3" borderId="0" xfId="0" applyFont="1" applyFill="1" applyAlignment="1" applyProtection="1">
      <alignment/>
      <protection hidden="1"/>
    </xf>
    <xf numFmtId="0" fontId="42" fillId="3" borderId="12" xfId="0" applyFont="1" applyFill="1" applyBorder="1" applyAlignment="1" applyProtection="1">
      <alignment/>
      <protection hidden="1"/>
    </xf>
    <xf numFmtId="0" fontId="42" fillId="3" borderId="28" xfId="0" applyFont="1" applyFill="1" applyBorder="1" applyAlignment="1" applyProtection="1">
      <alignment/>
      <protection hidden="1"/>
    </xf>
    <xf numFmtId="0" fontId="0" fillId="3" borderId="12" xfId="0" applyFont="1" applyFill="1" applyBorder="1" applyAlignment="1" applyProtection="1">
      <alignment horizontal="center"/>
      <protection hidden="1"/>
    </xf>
    <xf numFmtId="0" fontId="0" fillId="3" borderId="45" xfId="0" applyFont="1" applyFill="1" applyBorder="1" applyAlignment="1" applyProtection="1">
      <alignment/>
      <protection hidden="1"/>
    </xf>
    <xf numFmtId="0" fontId="0" fillId="3" borderId="4" xfId="0" applyFont="1" applyFill="1" applyBorder="1" applyAlignment="1" applyProtection="1">
      <alignment horizontal="left"/>
      <protection hidden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0</xdr:rowOff>
    </xdr:from>
    <xdr:to>
      <xdr:col>11</xdr:col>
      <xdr:colOff>19050</xdr:colOff>
      <xdr:row>3</xdr:row>
      <xdr:rowOff>0</xdr:rowOff>
    </xdr:to>
    <xdr:sp>
      <xdr:nvSpPr>
        <xdr:cNvPr id="1" name="TextBox 245"/>
        <xdr:cNvSpPr txBox="1">
          <a:spLocks noChangeArrowheads="1"/>
        </xdr:cNvSpPr>
      </xdr:nvSpPr>
      <xdr:spPr>
        <a:xfrm>
          <a:off x="2657475" y="161925"/>
          <a:ext cx="39624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GEOMETRIJA RAZMENJIVAČA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323850</xdr:colOff>
      <xdr:row>4</xdr:row>
      <xdr:rowOff>104775</xdr:rowOff>
    </xdr:to>
    <xdr:pic>
      <xdr:nvPicPr>
        <xdr:cNvPr id="2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438150</xdr:colOff>
      <xdr:row>0</xdr:row>
      <xdr:rowOff>66675</xdr:rowOff>
    </xdr:from>
    <xdr:to>
      <xdr:col>4</xdr:col>
      <xdr:colOff>276225</xdr:colOff>
      <xdr:row>4</xdr:row>
      <xdr:rowOff>104775</xdr:rowOff>
    </xdr:to>
    <xdr:sp>
      <xdr:nvSpPr>
        <xdr:cNvPr id="3" name="TextBox 270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74"/>
  <sheetViews>
    <sheetView showGridLines="0" tabSelected="1" workbookViewId="0" topLeftCell="A1">
      <selection activeCell="Q31" sqref="Q31"/>
    </sheetView>
  </sheetViews>
  <sheetFormatPr defaultColWidth="9.140625" defaultRowHeight="12.75"/>
  <cols>
    <col min="1" max="4" width="9.00390625" style="3" customWidth="1"/>
    <col min="5" max="5" width="9.00390625" style="40" customWidth="1"/>
    <col min="6" max="13" width="9.00390625" style="3" customWidth="1"/>
    <col min="14" max="16384" width="9.140625" style="3" customWidth="1"/>
  </cols>
  <sheetData>
    <row r="1" spans="5:13" ht="12.75">
      <c r="E1" s="3"/>
      <c r="M1" s="128" t="s">
        <v>24</v>
      </c>
    </row>
    <row r="2" ht="12.75">
      <c r="E2" s="3"/>
    </row>
    <row r="3" ht="12.75">
      <c r="E3" s="3"/>
    </row>
    <row r="4" ht="12.75">
      <c r="E4" s="3"/>
    </row>
    <row r="5" ht="12.75">
      <c r="E5" s="3"/>
    </row>
    <row r="6" spans="1:6" s="10" customFormat="1" ht="15" customHeight="1">
      <c r="A6" s="127"/>
      <c r="B6" s="15"/>
      <c r="C6" s="15"/>
      <c r="D6" s="109"/>
      <c r="E6" s="110"/>
      <c r="F6" s="111"/>
    </row>
    <row r="7" spans="1:9" s="10" customFormat="1" ht="15" customHeight="1">
      <c r="A7" s="127"/>
      <c r="C7" s="159" t="s">
        <v>89</v>
      </c>
      <c r="D7" s="13"/>
      <c r="E7" s="13"/>
      <c r="F7" s="13"/>
      <c r="G7" s="13"/>
      <c r="H7" s="13"/>
      <c r="I7" s="13"/>
    </row>
    <row r="8" spans="1:86" ht="15" customHeight="1">
      <c r="A8" s="160" t="s">
        <v>0</v>
      </c>
      <c r="B8" s="16"/>
      <c r="C8" s="17"/>
      <c r="D8" s="30"/>
      <c r="E8" s="146" t="s">
        <v>40</v>
      </c>
      <c r="F8" s="1">
        <v>0.013</v>
      </c>
      <c r="G8" s="31">
        <f>IF(F8&lt;=M$11/2,"SOS","")</f>
      </c>
      <c r="H8" s="160" t="s">
        <v>99</v>
      </c>
      <c r="I8" s="16"/>
      <c r="J8" s="17"/>
      <c r="K8" s="32"/>
      <c r="L8" s="146" t="s">
        <v>50</v>
      </c>
      <c r="M8" s="1">
        <v>0.5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</row>
    <row r="9" spans="1:86" ht="15" customHeight="1">
      <c r="A9" s="161" t="s">
        <v>3</v>
      </c>
      <c r="B9" s="23"/>
      <c r="C9" s="24"/>
      <c r="D9" s="33"/>
      <c r="E9" s="146" t="s">
        <v>41</v>
      </c>
      <c r="F9" s="1">
        <v>0.014</v>
      </c>
      <c r="G9" s="31">
        <f>IF(F9&lt;=M$11/2,"SOS","")</f>
      </c>
      <c r="H9" s="161" t="s">
        <v>100</v>
      </c>
      <c r="I9" s="23"/>
      <c r="J9" s="24"/>
      <c r="K9" s="26"/>
      <c r="L9" s="146" t="s">
        <v>51</v>
      </c>
      <c r="M9" s="2">
        <v>0.005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</row>
    <row r="10" spans="1:85" ht="15" customHeight="1">
      <c r="A10" s="161" t="s">
        <v>90</v>
      </c>
      <c r="B10" s="23"/>
      <c r="C10" s="24"/>
      <c r="D10" s="33"/>
      <c r="E10" s="146" t="s">
        <v>42</v>
      </c>
      <c r="F10" s="1">
        <v>0.014</v>
      </c>
      <c r="G10" s="31">
        <f>IF(F10&lt;=M$11/2,"SOS","")</f>
      </c>
      <c r="H10" s="162" t="s">
        <v>101</v>
      </c>
      <c r="I10" s="21"/>
      <c r="J10" s="22"/>
      <c r="K10" s="34"/>
      <c r="L10" s="146" t="s">
        <v>52</v>
      </c>
      <c r="M10" s="28">
        <f>M8-2*M9</f>
        <v>0.49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</row>
    <row r="11" spans="1:86" ht="15" customHeight="1">
      <c r="A11" s="160" t="s">
        <v>1</v>
      </c>
      <c r="B11" s="16"/>
      <c r="C11" s="17"/>
      <c r="D11" s="25"/>
      <c r="E11" s="146" t="s">
        <v>43</v>
      </c>
      <c r="F11" s="1">
        <v>0.0195</v>
      </c>
      <c r="G11" s="31">
        <f>IF(F11&lt;=M$11/2,"SOS","")</f>
      </c>
      <c r="H11" s="167" t="s">
        <v>103</v>
      </c>
      <c r="I11" s="35"/>
      <c r="J11" s="35"/>
      <c r="K11" s="25"/>
      <c r="L11" s="145" t="s">
        <v>53</v>
      </c>
      <c r="M11" s="2">
        <v>0.018</v>
      </c>
      <c r="N11" s="4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</row>
    <row r="12" spans="1:13" ht="15" customHeight="1">
      <c r="A12" s="161" t="s">
        <v>91</v>
      </c>
      <c r="B12" s="23"/>
      <c r="C12" s="24"/>
      <c r="D12" s="33"/>
      <c r="E12" s="146" t="s">
        <v>44</v>
      </c>
      <c r="F12" s="1">
        <v>0.0225</v>
      </c>
      <c r="G12" s="31">
        <f>IF(F12&lt;=M$11/2,"SOS","")</f>
      </c>
      <c r="H12" s="168" t="s">
        <v>22</v>
      </c>
      <c r="I12" s="13"/>
      <c r="J12" s="13"/>
      <c r="K12" s="26"/>
      <c r="L12" s="145" t="s">
        <v>54</v>
      </c>
      <c r="M12" s="2">
        <v>0.001</v>
      </c>
    </row>
    <row r="13" spans="1:13" ht="15" customHeight="1">
      <c r="A13" s="160" t="s">
        <v>92</v>
      </c>
      <c r="B13" s="16"/>
      <c r="C13" s="17"/>
      <c r="D13" s="30"/>
      <c r="E13" s="148" t="s">
        <v>45</v>
      </c>
      <c r="F13" s="36">
        <f>2*F8-M11</f>
        <v>0.008</v>
      </c>
      <c r="G13" s="31"/>
      <c r="H13" s="162" t="s">
        <v>104</v>
      </c>
      <c r="I13" s="21"/>
      <c r="J13" s="22"/>
      <c r="K13" s="34"/>
      <c r="L13" s="145" t="s">
        <v>55</v>
      </c>
      <c r="M13" s="28">
        <f>M11-2*M12</f>
        <v>0.016</v>
      </c>
    </row>
    <row r="14" spans="1:13" ht="15" customHeight="1">
      <c r="A14" s="161" t="s">
        <v>93</v>
      </c>
      <c r="B14" s="23"/>
      <c r="C14" s="24"/>
      <c r="D14" s="33"/>
      <c r="E14" s="148" t="s">
        <v>46</v>
      </c>
      <c r="F14" s="36">
        <f>2*F11-M11</f>
        <v>0.021</v>
      </c>
      <c r="G14" s="31"/>
      <c r="H14" s="168" t="s">
        <v>102</v>
      </c>
      <c r="I14" s="13"/>
      <c r="J14" s="13"/>
      <c r="K14" s="37"/>
      <c r="L14" s="129" t="s">
        <v>26</v>
      </c>
      <c r="M14" s="2"/>
    </row>
    <row r="15" spans="1:13" ht="15" customHeight="1">
      <c r="A15" s="161" t="s">
        <v>94</v>
      </c>
      <c r="B15" s="21"/>
      <c r="C15" s="22"/>
      <c r="D15" s="38"/>
      <c r="E15" s="148" t="s">
        <v>47</v>
      </c>
      <c r="F15" s="36">
        <f>(F8^2+F11^2)^0.5-M11</f>
        <v>0.005436083290515932</v>
      </c>
      <c r="G15" s="31"/>
      <c r="H15" s="165" t="s">
        <v>98</v>
      </c>
      <c r="I15" s="18"/>
      <c r="J15" s="19"/>
      <c r="K15" s="20"/>
      <c r="L15" s="149" t="s">
        <v>56</v>
      </c>
      <c r="M15" s="28">
        <f>IF($M$14="",$M$11/2+IF(M$9&lt;=0.003,0.004,IF(K8="Cev",INT(1000*M9/2)/1000,M9)),$M$11/2+$M$14)</f>
        <v>0.013999999999999999</v>
      </c>
    </row>
    <row r="16" spans="1:13" ht="15" customHeight="1">
      <c r="A16" s="160" t="s">
        <v>21</v>
      </c>
      <c r="B16" s="16"/>
      <c r="C16" s="17"/>
      <c r="D16" s="25"/>
      <c r="E16" s="145" t="s">
        <v>79</v>
      </c>
      <c r="F16" s="2">
        <v>6</v>
      </c>
      <c r="H16" s="165" t="s">
        <v>105</v>
      </c>
      <c r="I16" s="18"/>
      <c r="J16" s="19"/>
      <c r="K16" s="20"/>
      <c r="L16" s="148" t="s">
        <v>57</v>
      </c>
      <c r="M16" s="28">
        <f>M10/2-M15</f>
        <v>0.23099999999999998</v>
      </c>
    </row>
    <row r="17" spans="1:13" ht="15" customHeight="1">
      <c r="A17" s="162" t="s">
        <v>95</v>
      </c>
      <c r="B17" s="21"/>
      <c r="C17" s="22"/>
      <c r="D17" s="34"/>
      <c r="E17" s="145" t="s">
        <v>80</v>
      </c>
      <c r="F17" s="2">
        <v>2</v>
      </c>
      <c r="H17" s="166" t="s">
        <v>106</v>
      </c>
      <c r="I17" s="6"/>
      <c r="J17" s="6"/>
      <c r="K17" s="6"/>
      <c r="L17" s="150"/>
      <c r="M17" s="39"/>
    </row>
    <row r="18" spans="1:13" ht="15" customHeight="1">
      <c r="A18" s="164" t="s">
        <v>96</v>
      </c>
      <c r="B18" s="4"/>
      <c r="C18" s="4"/>
      <c r="D18" s="4"/>
      <c r="E18" s="144"/>
      <c r="F18" s="2">
        <v>1</v>
      </c>
      <c r="H18" s="165" t="s">
        <v>107</v>
      </c>
      <c r="I18" s="18"/>
      <c r="J18" s="19"/>
      <c r="K18" s="20"/>
      <c r="L18" s="148" t="s">
        <v>85</v>
      </c>
      <c r="M18" s="28">
        <f>INT((0.31*M10-F10-0.2*0.2*M10)/F8)+1</f>
        <v>10</v>
      </c>
    </row>
    <row r="19" spans="1:13" ht="15" customHeight="1">
      <c r="A19" s="160" t="s">
        <v>4</v>
      </c>
      <c r="B19" s="16"/>
      <c r="C19" s="17"/>
      <c r="D19" s="25"/>
      <c r="E19" s="146" t="s">
        <v>81</v>
      </c>
      <c r="F19" s="29">
        <f>INT(((M10/2-M15)-F10)/F8)+1</f>
        <v>17</v>
      </c>
      <c r="H19" s="165" t="s">
        <v>108</v>
      </c>
      <c r="I19" s="18"/>
      <c r="J19" s="19"/>
      <c r="K19" s="20"/>
      <c r="L19" s="148" t="s">
        <v>58</v>
      </c>
      <c r="M19" s="28">
        <f>M10/2-F10-(M18-1)*F8</f>
        <v>0.11399999999999999</v>
      </c>
    </row>
    <row r="20" spans="1:13" ht="15" customHeight="1">
      <c r="A20" s="162" t="s">
        <v>5</v>
      </c>
      <c r="B20" s="21"/>
      <c r="C20" s="22"/>
      <c r="D20" s="34"/>
      <c r="E20" s="146" t="s">
        <v>82</v>
      </c>
      <c r="F20" s="29">
        <f>INT(((M10/2-M15)-F12)/F11)+1</f>
        <v>11</v>
      </c>
      <c r="H20" s="165" t="s">
        <v>109</v>
      </c>
      <c r="I20" s="18"/>
      <c r="J20" s="19"/>
      <c r="K20" s="20"/>
      <c r="L20" s="148" t="s">
        <v>78</v>
      </c>
      <c r="M20" s="112">
        <f>M19/M10</f>
        <v>0.23265306122448978</v>
      </c>
    </row>
    <row r="21" spans="1:13" ht="15" customHeight="1">
      <c r="A21" s="163" t="s">
        <v>97</v>
      </c>
      <c r="B21" s="21"/>
      <c r="C21" s="22"/>
      <c r="D21" s="27"/>
      <c r="E21" s="148" t="s">
        <v>48</v>
      </c>
      <c r="F21" s="28">
        <f>IF(L28=C27,C62,IF(L28=D27,D62,IF(L28=E27,E62,IF(L28=F27,F62,"SOS"))))</f>
        <v>282</v>
      </c>
      <c r="H21" s="165" t="s">
        <v>110</v>
      </c>
      <c r="I21" s="18"/>
      <c r="J21" s="19"/>
      <c r="K21" s="20"/>
      <c r="L21" s="148" t="s">
        <v>86</v>
      </c>
      <c r="M21" s="28">
        <f>M62</f>
        <v>50</v>
      </c>
    </row>
    <row r="22" spans="1:13" ht="15" customHeight="1">
      <c r="A22" s="160" t="s">
        <v>20</v>
      </c>
      <c r="B22" s="16"/>
      <c r="C22" s="17"/>
      <c r="D22" s="25"/>
      <c r="E22" s="133" t="s">
        <v>25</v>
      </c>
      <c r="F22" s="2">
        <v>5</v>
      </c>
      <c r="H22" s="165" t="s">
        <v>111</v>
      </c>
      <c r="I22" s="18"/>
      <c r="J22" s="19"/>
      <c r="K22" s="20"/>
      <c r="L22" s="148" t="s">
        <v>87</v>
      </c>
      <c r="M22" s="28">
        <f>IF(F18=1,M18,M18-1)</f>
        <v>10</v>
      </c>
    </row>
    <row r="23" spans="1:13" ht="15" customHeight="1">
      <c r="A23" s="162" t="s">
        <v>20</v>
      </c>
      <c r="B23" s="21"/>
      <c r="C23" s="22"/>
      <c r="D23" s="34"/>
      <c r="E23" s="133" t="s">
        <v>49</v>
      </c>
      <c r="F23" s="2">
        <v>7</v>
      </c>
      <c r="H23" s="165" t="s">
        <v>112</v>
      </c>
      <c r="I23" s="18"/>
      <c r="J23" s="19"/>
      <c r="K23" s="20"/>
      <c r="L23" s="148" t="s">
        <v>88</v>
      </c>
      <c r="M23" s="28">
        <f>IF(F18=1,M18-1,M18)</f>
        <v>9</v>
      </c>
    </row>
    <row r="24" ht="15" customHeight="1"/>
    <row r="25" spans="7:10" ht="15" customHeight="1">
      <c r="G25" s="147" t="s">
        <v>27</v>
      </c>
      <c r="H25" s="41">
        <f>F22</f>
        <v>5</v>
      </c>
      <c r="I25" s="147" t="s">
        <v>28</v>
      </c>
      <c r="J25" s="42">
        <f>F23</f>
        <v>7</v>
      </c>
    </row>
    <row r="26" spans="3:14" ht="15" customHeight="1" thickBot="1">
      <c r="C26" s="130" t="s">
        <v>77</v>
      </c>
      <c r="D26" s="35"/>
      <c r="E26" s="43"/>
      <c r="F26" s="35"/>
      <c r="G26" s="156" t="s">
        <v>29</v>
      </c>
      <c r="H26" s="44">
        <f>IF(H25=0,0,H28/H29)</f>
        <v>0.9387755102040817</v>
      </c>
      <c r="I26" s="156" t="s">
        <v>29</v>
      </c>
      <c r="J26" s="45">
        <f>IF(J25=0,0,J28/J29)</f>
        <v>1.0909090909090908</v>
      </c>
      <c r="N26" s="113"/>
    </row>
    <row r="27" spans="1:14" ht="15" customHeight="1">
      <c r="A27" s="11"/>
      <c r="B27" s="157" t="s">
        <v>83</v>
      </c>
      <c r="C27" s="46">
        <v>2</v>
      </c>
      <c r="D27" s="46">
        <v>4</v>
      </c>
      <c r="E27" s="46">
        <v>6</v>
      </c>
      <c r="F27" s="47">
        <v>8</v>
      </c>
      <c r="G27" s="131" t="s">
        <v>32</v>
      </c>
      <c r="H27" s="48" t="s">
        <v>30</v>
      </c>
      <c r="I27" s="131" t="s">
        <v>33</v>
      </c>
      <c r="J27" s="48" t="s">
        <v>31</v>
      </c>
      <c r="K27" s="170" t="s">
        <v>114</v>
      </c>
      <c r="L27" s="49"/>
      <c r="M27" s="114" t="s">
        <v>6</v>
      </c>
      <c r="N27" s="113"/>
    </row>
    <row r="28" spans="2:13" ht="15" customHeight="1">
      <c r="B28" s="153" t="s">
        <v>39</v>
      </c>
      <c r="C28" s="9" t="s">
        <v>34</v>
      </c>
      <c r="D28" s="9" t="s">
        <v>35</v>
      </c>
      <c r="E28" s="9" t="s">
        <v>36</v>
      </c>
      <c r="F28" s="9" t="s">
        <v>37</v>
      </c>
      <c r="G28" s="50" t="s">
        <v>7</v>
      </c>
      <c r="H28" s="51">
        <f>2*H62</f>
        <v>92</v>
      </c>
      <c r="I28" s="50" t="s">
        <v>8</v>
      </c>
      <c r="J28" s="52">
        <f>2*J62</f>
        <v>72</v>
      </c>
      <c r="K28" s="155" t="s">
        <v>84</v>
      </c>
      <c r="L28" s="53">
        <f>F16</f>
        <v>6</v>
      </c>
      <c r="M28" s="115" t="s">
        <v>9</v>
      </c>
    </row>
    <row r="29" spans="1:13" ht="15" customHeight="1">
      <c r="A29" s="169" t="s">
        <v>113</v>
      </c>
      <c r="B29" s="54">
        <f>M8</f>
        <v>0.5</v>
      </c>
      <c r="C29" s="55">
        <f>C62/2</f>
        <v>155</v>
      </c>
      <c r="D29" s="56">
        <f>D62/2</f>
        <v>150</v>
      </c>
      <c r="E29" s="57">
        <f>E62/2</f>
        <v>141</v>
      </c>
      <c r="F29" s="58">
        <f>F62/2</f>
        <v>138</v>
      </c>
      <c r="G29" s="59" t="s">
        <v>10</v>
      </c>
      <c r="H29" s="60">
        <f>2*H63</f>
        <v>98</v>
      </c>
      <c r="I29" s="59" t="s">
        <v>11</v>
      </c>
      <c r="J29" s="61">
        <f>2*J63</f>
        <v>66</v>
      </c>
      <c r="K29" s="152" t="s">
        <v>38</v>
      </c>
      <c r="L29" s="62">
        <f>L62</f>
        <v>2.610964365890585</v>
      </c>
      <c r="M29" s="116" t="s">
        <v>12</v>
      </c>
    </row>
    <row r="30" spans="1:13" ht="15" customHeight="1">
      <c r="A30" s="63" t="s">
        <v>23</v>
      </c>
      <c r="B30" s="134" t="s">
        <v>59</v>
      </c>
      <c r="C30" s="135" t="s">
        <v>60</v>
      </c>
      <c r="D30" s="135" t="s">
        <v>61</v>
      </c>
      <c r="E30" s="135" t="s">
        <v>62</v>
      </c>
      <c r="F30" s="135" t="s">
        <v>63</v>
      </c>
      <c r="G30" s="64" t="s">
        <v>2</v>
      </c>
      <c r="H30" s="136" t="s">
        <v>64</v>
      </c>
      <c r="I30" s="64" t="s">
        <v>2</v>
      </c>
      <c r="J30" s="136" t="s">
        <v>65</v>
      </c>
      <c r="K30" s="132" t="s">
        <v>66</v>
      </c>
      <c r="L30" s="137" t="s">
        <v>67</v>
      </c>
      <c r="M30" s="138" t="s">
        <v>68</v>
      </c>
    </row>
    <row r="31" spans="1:13" ht="15" customHeight="1">
      <c r="A31" s="65">
        <v>1</v>
      </c>
      <c r="B31" s="66">
        <f aca="true" t="shared" si="0" ref="B31:B60">IF(M$10/2-M$15&lt;=$F$12+$F$11*($A31-1),0,((M$10/2-M$15)^2-($F$12+$F$11*($A31-1))^2)^0.5)</f>
        <v>0.2299016093897561</v>
      </c>
      <c r="C31" s="67">
        <f>IF(B31=0,0,2*INT((B31-$F$10-IF($F$18=1,0,$F$8))/(2*$F$8)+1)+IF($F$18=1,0,1))</f>
        <v>18</v>
      </c>
      <c r="D31" s="68">
        <f>IF(B31=0,0,2*INT((B31-$F$10-IF($F$18=1,0,$F$8))/(2*$F$8)+1))</f>
        <v>18</v>
      </c>
      <c r="E31" s="69">
        <f>IF(F$22=0,0,IF(B31=0,0,2*INT((B31-2*($F$9-$F$8)-$F$10-IF($F$18=1,0,$F$8))/(2*$F$8)+1)+IF($F$18=1,0,1)-IF(C31&gt;F$22,IF($F$18=1,IF(MOD(F$22+1,2)=0,2,0),IF(MOD(F$22+1,2)=0,0,2)),0)))</f>
        <v>16</v>
      </c>
      <c r="F31" s="70">
        <f>IF(F$23=0,0,IF(B31=0,0,2*INT((B31-2*($F$9-$F$8)-$F$10-IF($F$18=1,0,$F$8))/(2*$F$8)+1)-IF(D31&gt;F$23,IF($F$18=1,IF(MOD(F$23+1,2)=0,2,0),IF(MOD(F$23+1,2)=0,0,2)),0)))</f>
        <v>16</v>
      </c>
      <c r="G31" s="71">
        <v>1</v>
      </c>
      <c r="H31" s="72">
        <f>IF(E31&gt;H$25,IF($F$18=1,IF(MOD(H$25,2)=0,H$25,(H$25-1)),IF(MOD(H$25,2)=0,(H$25-1),H$25)),E31)</f>
        <v>4</v>
      </c>
      <c r="I31" s="71">
        <v>1</v>
      </c>
      <c r="J31" s="73">
        <f>IF(F31&gt;J$25,IF($F$18=1,IF(MOD(J$25,2)=0,J$25/2,(J$25-1)/2),IF(MOD(J$25,2)=0,(J$25-2)/2,(J$25-1)/2)),F31/2)</f>
        <v>3</v>
      </c>
      <c r="K31" s="74">
        <f>F12</f>
        <v>0.0225</v>
      </c>
      <c r="L31" s="75">
        <f aca="true" t="shared" si="1" ref="L31:L60">K31*IF($L$28=$C$27,C31,IF($L$28=$D$27,D31,IF($L$28=$E$27,E31,IF($L$28=$F$27,F31,"SOS"))))</f>
        <v>0.36</v>
      </c>
      <c r="M31" s="117">
        <f>IF(D31&gt;=M$22,D31-M$22,0)</f>
        <v>8</v>
      </c>
    </row>
    <row r="32" spans="1:13" ht="15" customHeight="1">
      <c r="A32" s="76">
        <v>2</v>
      </c>
      <c r="B32" s="77">
        <f t="shared" si="0"/>
        <v>0.2271497303542313</v>
      </c>
      <c r="C32" s="78">
        <f>IF(B32=0,0,2*INT((B32-$F$10-IF($F$18=1,$F$8,0))/(2*$F$8)+1)+IF($F$18=1,1,0))</f>
        <v>17</v>
      </c>
      <c r="D32" s="79">
        <f>IF(B32=0,0,2*INT((B32-$F$10-IF($F$18=1,$F$8,0))/(2*$F$8)+1))</f>
        <v>16</v>
      </c>
      <c r="E32" s="80">
        <f>IF(F$22=0,0,IF(B32=0,0,2*INT((B32-2*($F$9-$F$8)-$F$10-IF($F$18=1,$F$8,0))/(2*$F$8)+1)+IF($F$18=1,1,0)-IF(C32&gt;F$22,IF($F$18=1,IF(MOD(F$22+1,2)=0,0,2),IF(MOD(F$22+1,2)=0,2,0)),0)))</f>
        <v>17</v>
      </c>
      <c r="F32" s="81">
        <f>IF(F$23=0,0,IF(B32=0,0,2*INT((B32-2*($F$9-$F$8)-$F$10-IF($F$18=1,$F$8,0))/(2*$F$8)+1)-IF(D32&gt;F$23,IF($F$18=1,IF(MOD(F$23+1,2)=0,0,2),IF(MOD(F$23+1,2)=0,2,0)),0)))</f>
        <v>16</v>
      </c>
      <c r="G32" s="71">
        <v>2</v>
      </c>
      <c r="H32" s="72">
        <f>IF(E32&gt;H$25,IF($F$18=1,IF(MOD(H$25,2)=0,(H$25-1),H$25),IF(MOD(H$25,2)=0,H$25,(H$25-1))),E32)</f>
        <v>5</v>
      </c>
      <c r="I32" s="71">
        <v>2</v>
      </c>
      <c r="J32" s="73">
        <f>IF(F32&gt;J$25,IF($F$18=1,IF(MOD(J$25,2)=0,(J$25-2)/2,(J$25-1)/2),IF(MOD(J$25,2)=0,J$25/2,(J$25-1)/2)),F32/2)</f>
        <v>3</v>
      </c>
      <c r="K32" s="74">
        <f aca="true" t="shared" si="2" ref="K32:K60">K31+$F$11</f>
        <v>0.041999999999999996</v>
      </c>
      <c r="L32" s="75">
        <f t="shared" si="1"/>
        <v>0.714</v>
      </c>
      <c r="M32" s="117">
        <f>IF(D32&gt;=M$23,D32-M$23,0)</f>
        <v>7</v>
      </c>
    </row>
    <row r="33" spans="1:13" ht="15" customHeight="1">
      <c r="A33" s="76">
        <v>3</v>
      </c>
      <c r="B33" s="77">
        <f t="shared" si="0"/>
        <v>0.22266286174393787</v>
      </c>
      <c r="C33" s="78">
        <f>IF(B33=0,0,2*INT((B33-$F$10-IF($F$18=1,0,$F$8))/(2*$F$8)+1)+IF($F$18=1,0,1))</f>
        <v>18</v>
      </c>
      <c r="D33" s="79">
        <f>IF(B33=0,0,2*INT((B33-$F$10-IF($F$18=1,0,$F$8))/(2*$F$8)+1))</f>
        <v>18</v>
      </c>
      <c r="E33" s="80">
        <f>IF(F$22=0,0,IF(B33=0,0,2*INT((B33-2*($F$9-$F$8)-$F$10-IF($F$18=1,0,$F$8))/(2*$F$8)+1)+IF($F$18=1,0,1)-IF(C33&gt;F$22,IF($F$18=1,IF(MOD(F$22+1,2)=0,2,0),IF(MOD(F$22+1,2)=0,0,2)),0)))</f>
        <v>14</v>
      </c>
      <c r="F33" s="81">
        <f>IF(F$23=0,0,IF(B33=0,0,2*INT((B33-2*($F$9-$F$8)-$F$10-IF($F$18=1,0,$F$8))/(2*$F$8)+1)-IF(D33&gt;F$23,IF($F$18=1,IF(MOD(F$23+1,2)=0,2,0),IF(MOD(F$23+1,2)=0,0,2)),0)))</f>
        <v>14</v>
      </c>
      <c r="G33" s="71">
        <v>3</v>
      </c>
      <c r="H33" s="72">
        <f>IF(E33&gt;H$25,IF($F$18=1,IF(MOD(H$25,2)=0,H$25,(H$25-1)),IF(MOD(H$25,2)=0,(H$25-1),H$25)),E33)</f>
        <v>4</v>
      </c>
      <c r="I33" s="71">
        <v>3</v>
      </c>
      <c r="J33" s="73">
        <f>IF(F33&gt;J$25,IF($F$18=1,IF(MOD(J$25,2)=0,J$25/2,(J$25-1)/2),IF(MOD(J$25,2)=0,(J$25-2)/2,(J$25-1)/2)),F33/2)</f>
        <v>3</v>
      </c>
      <c r="K33" s="74">
        <f t="shared" si="2"/>
        <v>0.0615</v>
      </c>
      <c r="L33" s="75">
        <f t="shared" si="1"/>
        <v>0.861</v>
      </c>
      <c r="M33" s="117">
        <f>IF(D33&gt;=M$22,D33-M$22,0)</f>
        <v>8</v>
      </c>
    </row>
    <row r="34" spans="1:13" ht="15" customHeight="1">
      <c r="A34" s="76">
        <v>4</v>
      </c>
      <c r="B34" s="77">
        <f t="shared" si="0"/>
        <v>0.21633307652783934</v>
      </c>
      <c r="C34" s="78">
        <f>IF(B34=0,0,2*INT((B34-$F$10-IF($F$18=1,$F$8,0))/(2*$F$8)+1)+IF($F$18=1,1,0))</f>
        <v>17</v>
      </c>
      <c r="D34" s="79">
        <f>IF(B34=0,0,2*INT((B34-$F$10-IF($F$18=1,$F$8,0))/(2*$F$8)+1))</f>
        <v>16</v>
      </c>
      <c r="E34" s="80">
        <f>IF(F$22=0,0,IF(B34=0,0,2*INT((B34-2*($F$9-$F$8)-$F$10-IF($F$18=1,$F$8,0))/(2*$F$8)+1)+IF($F$18=1,1,0)-IF(C34&gt;F$22,IF($F$18=1,IF(MOD(F$22+1,2)=0,0,2),IF(MOD(F$22+1,2)=0,2,0)),0)))</f>
        <v>17</v>
      </c>
      <c r="F34" s="81">
        <f>IF(F$23=0,0,IF(B34=0,0,2*INT((B34-2*($F$9-$F$8)-$F$10-IF($F$18=1,$F$8,0))/(2*$F$8)+1)-IF(D34&gt;F$23,IF($F$18=1,IF(MOD(F$23+1,2)=0,0,2),IF(MOD(F$23+1,2)=0,2,0)),0)))</f>
        <v>16</v>
      </c>
      <c r="G34" s="71">
        <v>4</v>
      </c>
      <c r="H34" s="72">
        <f>IF(E34&gt;H$25,IF($F$18=1,IF(MOD(H$25,2)=0,(H$25-1),H$25),IF(MOD(H$25,2)=0,H$25,(H$25-1))),E34)</f>
        <v>5</v>
      </c>
      <c r="I34" s="71">
        <v>4</v>
      </c>
      <c r="J34" s="73">
        <f>IF(F34&gt;J$25,IF($F$18=1,IF(MOD(J$25,2)=0,(J$25-2)/2,(J$25-1)/2),IF(MOD(J$25,2)=0,J$25/2,(J$25-1)/2)),F34/2)</f>
        <v>3</v>
      </c>
      <c r="K34" s="74">
        <f t="shared" si="2"/>
        <v>0.081</v>
      </c>
      <c r="L34" s="75">
        <f t="shared" si="1"/>
        <v>1.377</v>
      </c>
      <c r="M34" s="117">
        <f>IF(D34&gt;=M$23,D34-M$23,0)</f>
        <v>7</v>
      </c>
    </row>
    <row r="35" spans="1:13" ht="15" customHeight="1">
      <c r="A35" s="76">
        <v>5</v>
      </c>
      <c r="B35" s="77">
        <f t="shared" si="0"/>
        <v>0.20799218735327532</v>
      </c>
      <c r="C35" s="78">
        <f>IF(B35=0,0,2*INT((B35-$F$10-IF($F$18=1,0,$F$8))/(2*$F$8)+1)+IF($F$18=1,0,1))</f>
        <v>16</v>
      </c>
      <c r="D35" s="79">
        <f>IF(B35=0,0,2*INT((B35-$F$10-IF($F$18=1,0,$F$8))/(2*$F$8)+1))</f>
        <v>16</v>
      </c>
      <c r="E35" s="80">
        <f>IF(F$22=0,0,IF(B35=0,0,2*INT((B35-2*($F$9-$F$8)-$F$10-IF($F$18=1,0,$F$8))/(2*$F$8)+1)+IF($F$18=1,0,1)-IF(C35&gt;F$22,IF($F$18=1,IF(MOD(F$22+1,2)=0,2,0),IF(MOD(F$22+1,2)=0,0,2)),0)))</f>
        <v>14</v>
      </c>
      <c r="F35" s="81">
        <f>IF(F$23=0,0,IF(B35=0,0,2*INT((B35-2*($F$9-$F$8)-$F$10-IF($F$18=1,0,$F$8))/(2*$F$8)+1)-IF(D35&gt;F$23,IF($F$18=1,IF(MOD(F$23+1,2)=0,2,0),IF(MOD(F$23+1,2)=0,0,2)),0)))</f>
        <v>14</v>
      </c>
      <c r="G35" s="71">
        <v>5</v>
      </c>
      <c r="H35" s="72">
        <f>IF(E35&gt;H$25,IF($F$18=1,IF(MOD(H$25,2)=0,H$25,(H$25-1)),IF(MOD(H$25,2)=0,(H$25-1),H$25)),E35)</f>
        <v>4</v>
      </c>
      <c r="I35" s="71">
        <v>5</v>
      </c>
      <c r="J35" s="73">
        <f>IF(F35&gt;J$25,IF($F$18=1,IF(MOD(J$25,2)=0,J$25/2,(J$25-1)/2),IF(MOD(J$25,2)=0,(J$25-2)/2,(J$25-1)/2)),F35/2)</f>
        <v>3</v>
      </c>
      <c r="K35" s="74">
        <f t="shared" si="2"/>
        <v>0.1005</v>
      </c>
      <c r="L35" s="75">
        <f t="shared" si="1"/>
        <v>1.407</v>
      </c>
      <c r="M35" s="117">
        <f>IF(D35&gt;=M$22,D35-M$22,0)</f>
        <v>6</v>
      </c>
    </row>
    <row r="36" spans="1:13" ht="15" customHeight="1">
      <c r="A36" s="76">
        <v>6</v>
      </c>
      <c r="B36" s="77">
        <f t="shared" si="0"/>
        <v>0.19738540979515176</v>
      </c>
      <c r="C36" s="78">
        <f>IF(B36=0,0,2*INT((B36-$F$10-IF($F$18=1,$F$8,0))/(2*$F$8)+1)+IF($F$18=1,1,0))</f>
        <v>15</v>
      </c>
      <c r="D36" s="79">
        <f>IF(B36=0,0,2*INT((B36-$F$10-IF($F$18=1,$F$8,0))/(2*$F$8)+1))</f>
        <v>14</v>
      </c>
      <c r="E36" s="80">
        <f>IF(F$22=0,0,IF(B36=0,0,2*INT((B36-2*($F$9-$F$8)-$F$10-IF($F$18=1,$F$8,0))/(2*$F$8)+1)+IF($F$18=1,1,0)-IF(C36&gt;F$22,IF($F$18=1,IF(MOD(F$22+1,2)=0,0,2),IF(MOD(F$22+1,2)=0,2,0)),0)))</f>
        <v>15</v>
      </c>
      <c r="F36" s="81">
        <f>IF(F$23=0,0,IF(B36=0,0,2*INT((B36-2*($F$9-$F$8)-$F$10-IF($F$18=1,$F$8,0))/(2*$F$8)+1)-IF(D36&gt;F$23,IF($F$18=1,IF(MOD(F$23+1,2)=0,0,2),IF(MOD(F$23+1,2)=0,2,0)),0)))</f>
        <v>14</v>
      </c>
      <c r="G36" s="71">
        <v>6</v>
      </c>
      <c r="H36" s="72">
        <f>IF(E36&gt;H$25,IF($F$18=1,IF(MOD(H$25,2)=0,(H$25-1),H$25),IF(MOD(H$25,2)=0,H$25,(H$25-1))),E36)</f>
        <v>5</v>
      </c>
      <c r="I36" s="71">
        <v>6</v>
      </c>
      <c r="J36" s="73">
        <f>IF(F36&gt;J$25,IF($F$18=1,IF(MOD(J$25,2)=0,(J$25-2)/2,(J$25-1)/2),IF(MOD(J$25,2)=0,J$25/2,(J$25-1)/2)),F36/2)</f>
        <v>3</v>
      </c>
      <c r="K36" s="74">
        <f t="shared" si="2"/>
        <v>0.12000000000000001</v>
      </c>
      <c r="L36" s="75">
        <f t="shared" si="1"/>
        <v>1.8</v>
      </c>
      <c r="M36" s="117">
        <f>IF(D36&gt;=M$23,D36-M$23,0)</f>
        <v>5</v>
      </c>
    </row>
    <row r="37" spans="1:13" ht="15" customHeight="1">
      <c r="A37" s="76">
        <v>7</v>
      </c>
      <c r="B37" s="77">
        <f t="shared" si="0"/>
        <v>0.18412156310437947</v>
      </c>
      <c r="C37" s="78">
        <f>IF(B37=0,0,2*INT((B37-$F$10-IF($F$18=1,0,$F$8))/(2*$F$8)+1)+IF($F$18=1,0,1))</f>
        <v>14</v>
      </c>
      <c r="D37" s="79">
        <f>IF(B37=0,0,2*INT((B37-$F$10-IF($F$18=1,0,$F$8))/(2*$F$8)+1))</f>
        <v>14</v>
      </c>
      <c r="E37" s="80">
        <f>IF(F$22=0,0,IF(B37=0,0,2*INT((B37-2*($F$9-$F$8)-$F$10-IF($F$18=1,0,$F$8))/(2*$F$8)+1)+IF($F$18=1,0,1)-IF(C37&gt;F$22,IF($F$18=1,IF(MOD(F$22+1,2)=0,2,0),IF(MOD(F$22+1,2)=0,0,2)),0)))</f>
        <v>12</v>
      </c>
      <c r="F37" s="81">
        <f>IF(F$23=0,0,IF(B37=0,0,2*INT((B37-2*($F$9-$F$8)-$F$10-IF($F$18=1,0,$F$8))/(2*$F$8)+1)-IF(D37&gt;F$23,IF($F$18=1,IF(MOD(F$23+1,2)=0,2,0),IF(MOD(F$23+1,2)=0,0,2)),0)))</f>
        <v>12</v>
      </c>
      <c r="G37" s="71">
        <v>7</v>
      </c>
      <c r="H37" s="72">
        <f>IF(E37&gt;H$25,IF($F$18=1,IF(MOD(H$25,2)=0,H$25,(H$25-1)),IF(MOD(H$25,2)=0,(H$25-1),H$25)),E37)</f>
        <v>4</v>
      </c>
      <c r="I37" s="71">
        <v>7</v>
      </c>
      <c r="J37" s="73">
        <f>IF(F37&gt;J$25,IF($F$18=1,IF(MOD(J$25,2)=0,J$25/2,(J$25-1)/2),IF(MOD(J$25,2)=0,(J$25-2)/2,(J$25-1)/2)),F37/2)</f>
        <v>3</v>
      </c>
      <c r="K37" s="74">
        <f t="shared" si="2"/>
        <v>0.1395</v>
      </c>
      <c r="L37" s="75">
        <f t="shared" si="1"/>
        <v>1.6740000000000002</v>
      </c>
      <c r="M37" s="117">
        <f>IF(D37&gt;=M$22,D37-M$22,0)</f>
        <v>4</v>
      </c>
    </row>
    <row r="38" spans="1:13" ht="15" customHeight="1">
      <c r="A38" s="76">
        <v>8</v>
      </c>
      <c r="B38" s="77">
        <f t="shared" si="0"/>
        <v>0.16757088052522726</v>
      </c>
      <c r="C38" s="78">
        <f>IF(B38=0,0,2*INT((B38-$F$10-IF($F$18=1,$F$8,0))/(2*$F$8)+1)+IF($F$18=1,1,0))</f>
        <v>13</v>
      </c>
      <c r="D38" s="79">
        <f>IF(B38=0,0,2*INT((B38-$F$10-IF($F$18=1,$F$8,0))/(2*$F$8)+1))</f>
        <v>12</v>
      </c>
      <c r="E38" s="80">
        <f>IF(F$22=0,0,IF(B38=0,0,2*INT((B38-2*($F$9-$F$8)-$F$10-IF($F$18=1,$F$8,0))/(2*$F$8)+1)+IF($F$18=1,1,0)-IF(C38&gt;F$22,IF($F$18=1,IF(MOD(F$22+1,2)=0,0,2),IF(MOD(F$22+1,2)=0,2,0)),0)))</f>
        <v>13</v>
      </c>
      <c r="F38" s="81">
        <f>IF(F$23=0,0,IF(B38=0,0,2*INT((B38-2*($F$9-$F$8)-$F$10-IF($F$18=1,$F$8,0))/(2*$F$8)+1)-IF(D38&gt;F$23,IF($F$18=1,IF(MOD(F$23+1,2)=0,0,2),IF(MOD(F$23+1,2)=0,2,0)),0)))</f>
        <v>12</v>
      </c>
      <c r="G38" s="71">
        <v>8</v>
      </c>
      <c r="H38" s="72">
        <f>IF(E38&gt;H$25,IF($F$18=1,IF(MOD(H$25,2)=0,(H$25-1),H$25),IF(MOD(H$25,2)=0,H$25,(H$25-1))),E38)</f>
        <v>5</v>
      </c>
      <c r="I38" s="71">
        <v>8</v>
      </c>
      <c r="J38" s="73">
        <f>IF(F38&gt;J$25,IF($F$18=1,IF(MOD(J$25,2)=0,(J$25-2)/2,(J$25-1)/2),IF(MOD(J$25,2)=0,J$25/2,(J$25-1)/2)),F38/2)</f>
        <v>3</v>
      </c>
      <c r="K38" s="74">
        <f t="shared" si="2"/>
        <v>0.159</v>
      </c>
      <c r="L38" s="75">
        <f t="shared" si="1"/>
        <v>2.067</v>
      </c>
      <c r="M38" s="117">
        <f>IF(D38&gt;=M$23,D38-M$23,0)</f>
        <v>3</v>
      </c>
    </row>
    <row r="39" spans="1:13" ht="15" customHeight="1">
      <c r="A39" s="76">
        <v>9</v>
      </c>
      <c r="B39" s="77">
        <f t="shared" si="0"/>
        <v>0.14662452045957386</v>
      </c>
      <c r="C39" s="78">
        <f>IF(B39=0,0,2*INT((B39-$F$10-IF($F$18=1,0,$F$8))/(2*$F$8)+1)+IF($F$18=1,0,1))</f>
        <v>12</v>
      </c>
      <c r="D39" s="79">
        <f>IF(B39=0,0,2*INT((B39-$F$10-IF($F$18=1,0,$F$8))/(2*$F$8)+1))</f>
        <v>12</v>
      </c>
      <c r="E39" s="80">
        <f>IF(F$22=0,0,IF(B39=0,0,2*INT((B39-2*($F$9-$F$8)-$F$10-IF($F$18=1,0,$F$8))/(2*$F$8)+1)+IF($F$18=1,0,1)-IF(C39&gt;F$22,IF($F$18=1,IF(MOD(F$22+1,2)=0,2,0),IF(MOD(F$22+1,2)=0,0,2)),0)))</f>
        <v>10</v>
      </c>
      <c r="F39" s="81">
        <f>IF(F$23=0,0,IF(B39=0,0,2*INT((B39-2*($F$9-$F$8)-$F$10-IF($F$18=1,0,$F$8))/(2*$F$8)+1)-IF(D39&gt;F$23,IF($F$18=1,IF(MOD(F$23+1,2)=0,2,0),IF(MOD(F$23+1,2)=0,0,2)),0)))</f>
        <v>10</v>
      </c>
      <c r="G39" s="71">
        <v>9</v>
      </c>
      <c r="H39" s="72">
        <f>IF(E39&gt;H$25,IF($F$18=1,IF(MOD(H$25,2)=0,H$25,(H$25-1)),IF(MOD(H$25,2)=0,(H$25-1),H$25)),E39)</f>
        <v>4</v>
      </c>
      <c r="I39" s="71">
        <v>9</v>
      </c>
      <c r="J39" s="73">
        <f>IF(F39&gt;J$25,IF($F$18=1,IF(MOD(J$25,2)=0,J$25/2,(J$25-1)/2),IF(MOD(J$25,2)=0,(J$25-2)/2,(J$25-1)/2)),F39/2)</f>
        <v>3</v>
      </c>
      <c r="K39" s="74">
        <f t="shared" si="2"/>
        <v>0.1785</v>
      </c>
      <c r="L39" s="75">
        <f t="shared" si="1"/>
        <v>1.785</v>
      </c>
      <c r="M39" s="117">
        <f>IF(D39&gt;=M$22,D39-M$22,0)</f>
        <v>2</v>
      </c>
    </row>
    <row r="40" spans="1:13" ht="15" customHeight="1">
      <c r="A40" s="82">
        <v>10</v>
      </c>
      <c r="B40" s="83">
        <f t="shared" si="0"/>
        <v>0.11898319209031163</v>
      </c>
      <c r="C40" s="84">
        <f>IF(B40=0,0,2*INT((B40-$F$10-IF($F$18=1,$F$8,0))/(2*$F$8)+1)+IF($F$18=1,1,0))</f>
        <v>9</v>
      </c>
      <c r="D40" s="85">
        <f>IF(B40=0,0,2*INT((B40-$F$10-IF($F$18=1,$F$8,0))/(2*$F$8)+1))</f>
        <v>8</v>
      </c>
      <c r="E40" s="86">
        <f>IF(F$22=0,0,IF(B40=0,0,2*INT((B40-2*($F$9-$F$8)-$F$10-IF($F$18=1,$F$8,0))/(2*$F$8)+1)+IF($F$18=1,1,0)-IF(C40&gt;F$22,IF($F$18=1,IF(MOD(F$22+1,2)=0,0,2),IF(MOD(F$22+1,2)=0,2,0)),0)))</f>
        <v>9</v>
      </c>
      <c r="F40" s="87">
        <f>IF(F$23=0,0,IF(B40=0,0,2*INT((B40-2*($F$9-$F$8)-$F$10-IF($F$18=1,$F$8,0))/(2*$F$8)+1)-IF(D40&gt;F$23,IF($F$18=1,IF(MOD(F$23+1,2)=0,0,2),IF(MOD(F$23+1,2)=0,2,0)),0)))</f>
        <v>8</v>
      </c>
      <c r="G40" s="59">
        <v>10</v>
      </c>
      <c r="H40" s="60">
        <f>IF(E40&gt;H$25,IF($F$18=1,IF(MOD(H$25,2)=0,(H$25-1),H$25),IF(MOD(H$25,2)=0,H$25,(H$25-1))),E40)</f>
        <v>5</v>
      </c>
      <c r="I40" s="59">
        <v>10</v>
      </c>
      <c r="J40" s="61">
        <f>IF(F40&gt;J$25,IF($F$18=1,IF(MOD(J$25,2)=0,(J$25-2)/2,(J$25-1)/2),IF(MOD(J$25,2)=0,J$25/2,(J$25-1)/2)),F40/2)</f>
        <v>3</v>
      </c>
      <c r="K40" s="88">
        <f t="shared" si="2"/>
        <v>0.19799999999999998</v>
      </c>
      <c r="L40" s="89">
        <f t="shared" si="1"/>
        <v>1.7819999999999998</v>
      </c>
      <c r="M40" s="118">
        <f>IF(D40&gt;=M$23,D40-M$23,0)</f>
        <v>0</v>
      </c>
    </row>
    <row r="41" spans="1:13" ht="15" customHeight="1">
      <c r="A41" s="65">
        <v>11</v>
      </c>
      <c r="B41" s="66">
        <f t="shared" si="0"/>
        <v>0.07781227409605757</v>
      </c>
      <c r="C41" s="67">
        <f>IF(B41=0,0,2*INT((B41-$F$10-IF($F$18=1,0,$F$8))/(2*$F$8)+1)+IF($F$18=1,0,1))</f>
        <v>6</v>
      </c>
      <c r="D41" s="68">
        <f>IF(B41=0,0,2*INT((B41-$F$10-IF($F$18=1,0,$F$8))/(2*$F$8)+1))</f>
        <v>6</v>
      </c>
      <c r="E41" s="69">
        <f>IF(F$22=0,0,IF(B41=0,0,2*INT((B41-2*($F$9-$F$8)-$F$10-IF($F$18=1,0,$F$8))/(2*$F$8)+1)+IF($F$18=1,0,1)-IF(C41&gt;F$22,IF($F$18=1,IF(MOD(F$22+1,2)=0,2,0),IF(MOD(F$22+1,2)=0,0,2)),0)))</f>
        <v>4</v>
      </c>
      <c r="F41" s="70">
        <f>IF(F$23=0,0,IF(B41=0,0,2*INT((B41-2*($F$9-$F$8)-$F$10-IF($F$18=1,0,$F$8))/(2*$F$8)+1)-IF(D41&gt;F$23,IF($F$18=1,IF(MOD(F$23+1,2)=0,2,0),IF(MOD(F$23+1,2)=0,0,2)),0)))</f>
        <v>6</v>
      </c>
      <c r="G41" s="71">
        <v>11</v>
      </c>
      <c r="H41" s="72">
        <f>IF(E41&gt;H$25,IF($F$18=1,IF(MOD(H$25,2)=0,H$25,(H$25-1)),IF(MOD(H$25,2)=0,(H$25-1),H$25)),E41)</f>
        <v>4</v>
      </c>
      <c r="I41" s="71">
        <v>11</v>
      </c>
      <c r="J41" s="73">
        <f>IF(F41&gt;J$25,IF($F$18=1,IF(MOD(J$25,2)=0,J$25/2,(J$25-1)/2),IF(MOD(J$25,2)=0,(J$25-2)/2,(J$25-1)/2)),F41/2)</f>
        <v>3</v>
      </c>
      <c r="K41" s="74">
        <f t="shared" si="2"/>
        <v>0.21749999999999997</v>
      </c>
      <c r="L41" s="75">
        <f t="shared" si="1"/>
        <v>0.8699999999999999</v>
      </c>
      <c r="M41" s="117">
        <f>IF(D41&gt;=M$22,D41-M$22,0)</f>
        <v>0</v>
      </c>
    </row>
    <row r="42" spans="1:13" ht="15" customHeight="1">
      <c r="A42" s="76">
        <v>12</v>
      </c>
      <c r="B42" s="77">
        <f t="shared" si="0"/>
        <v>0</v>
      </c>
      <c r="C42" s="78">
        <f>IF(B42=0,0,2*INT((B42-$F$10-IF($F$18=1,$F$8,0))/(2*$F$8)+1)+IF($F$18=1,1,0))</f>
        <v>0</v>
      </c>
      <c r="D42" s="79">
        <f>IF(B42=0,0,2*INT((B42-$F$10-IF($F$18=1,$F$8,0))/(2*$F$8)+1))</f>
        <v>0</v>
      </c>
      <c r="E42" s="80">
        <f>IF(F$22=0,0,IF(B42=0,0,2*INT((B42-2*($F$9-$F$8)-$F$10-IF($F$18=1,$F$8,0))/(2*$F$8)+1)+IF($F$18=1,1,0)-IF(C42&gt;F$22,IF($F$18=1,IF(MOD(F$22+1,2)=0,0,2),IF(MOD(F$22+1,2)=0,2,0)),0)))</f>
        <v>0</v>
      </c>
      <c r="F42" s="81">
        <f>IF(F$23=0,0,IF(B42=0,0,2*INT((B42-2*($F$9-$F$8)-$F$10-IF($F$18=1,$F$8,0))/(2*$F$8)+1)-IF(D42&gt;F$23,IF($F$18=1,IF(MOD(F$23+1,2)=0,0,2),IF(MOD(F$23+1,2)=0,2,0)),0)))</f>
        <v>0</v>
      </c>
      <c r="G42" s="71">
        <v>12</v>
      </c>
      <c r="H42" s="72">
        <f>IF(E42&gt;H$25,IF($F$18=1,IF(MOD(H$25,2)=0,(H$25-1),H$25),IF(MOD(H$25,2)=0,H$25,(H$25-1))),E42)</f>
        <v>0</v>
      </c>
      <c r="I42" s="71">
        <v>12</v>
      </c>
      <c r="J42" s="73">
        <f>IF(F42&gt;J$25,IF($F$18=1,IF(MOD(J$25,2)=0,(J$25-2)/2,(J$25-1)/2),IF(MOD(J$25,2)=0,J$25/2,(J$25-1)/2)),F42/2)</f>
        <v>0</v>
      </c>
      <c r="K42" s="74">
        <f t="shared" si="2"/>
        <v>0.23699999999999996</v>
      </c>
      <c r="L42" s="75">
        <f t="shared" si="1"/>
        <v>0</v>
      </c>
      <c r="M42" s="117">
        <f>IF(D42&gt;=M$23,D42-M$23,0)</f>
        <v>0</v>
      </c>
    </row>
    <row r="43" spans="1:13" ht="15" customHeight="1">
      <c r="A43" s="76">
        <v>13</v>
      </c>
      <c r="B43" s="77">
        <f t="shared" si="0"/>
        <v>0</v>
      </c>
      <c r="C43" s="78">
        <f>IF(B43=0,0,2*INT((B43-$F$10-IF($F$18=1,0,$F$8))/(2*$F$8)+1)+IF($F$18=1,0,1))</f>
        <v>0</v>
      </c>
      <c r="D43" s="79">
        <f>IF(B43=0,0,2*INT((B43-$F$10-IF($F$18=1,0,$F$8))/(2*$F$8)+1))</f>
        <v>0</v>
      </c>
      <c r="E43" s="80">
        <f>IF(F$22=0,0,IF(B43=0,0,2*INT((B43-2*($F$9-$F$8)-$F$10-IF($F$18=1,0,$F$8))/(2*$F$8)+1)+IF($F$18=1,0,1)-IF(C43&gt;F$22,IF($F$18=1,IF(MOD(F$22+1,2)=0,2,0),IF(MOD(F$22+1,2)=0,0,2)),0)))</f>
        <v>0</v>
      </c>
      <c r="F43" s="81">
        <f>IF(F$23=0,0,IF(B43=0,0,2*INT((B43-2*($F$9-$F$8)-$F$10-IF($F$18=1,0,$F$8))/(2*$F$8)+1)-IF(D43&gt;F$23,IF($F$18=1,IF(MOD(F$23+1,2)=0,2,0),IF(MOD(F$23+1,2)=0,0,2)),0)))</f>
        <v>0</v>
      </c>
      <c r="G43" s="71">
        <v>13</v>
      </c>
      <c r="H43" s="72">
        <f>IF(E43&gt;H$25,IF($F$18=1,IF(MOD(H$25,2)=0,H$25,(H$25-1)),IF(MOD(H$25,2)=0,(H$25-1),H$25)),E43)</f>
        <v>0</v>
      </c>
      <c r="I43" s="71">
        <v>13</v>
      </c>
      <c r="J43" s="73">
        <f>IF(F43&gt;J$25,IF($F$18=1,IF(MOD(J$25,2)=0,J$25/2,(J$25-1)/2),IF(MOD(J$25,2)=0,(J$25-2)/2,(J$25-1)/2)),F43/2)</f>
        <v>0</v>
      </c>
      <c r="K43" s="74">
        <f t="shared" si="2"/>
        <v>0.25649999999999995</v>
      </c>
      <c r="L43" s="75">
        <f t="shared" si="1"/>
        <v>0</v>
      </c>
      <c r="M43" s="117">
        <f>IF(D43&gt;=M$22,D43-M$22,0)</f>
        <v>0</v>
      </c>
    </row>
    <row r="44" spans="1:13" ht="15" customHeight="1">
      <c r="A44" s="76">
        <v>14</v>
      </c>
      <c r="B44" s="77">
        <f t="shared" si="0"/>
        <v>0</v>
      </c>
      <c r="C44" s="78">
        <f>IF(B44=0,0,2*INT((B44-$F$10-IF($F$18=1,$F$8,0))/(2*$F$8)+1)+IF($F$18=1,1,0))</f>
        <v>0</v>
      </c>
      <c r="D44" s="79">
        <f>IF(B44=0,0,2*INT((B44-$F$10-IF($F$18=1,$F$8,0))/(2*$F$8)+1))</f>
        <v>0</v>
      </c>
      <c r="E44" s="80">
        <f>IF(F$22=0,0,IF(B44=0,0,2*INT((B44-2*($F$9-$F$8)-$F$10-IF($F$18=1,$F$8,0))/(2*$F$8)+1)+IF($F$18=1,1,0)-IF(C44&gt;F$22,IF($F$18=1,IF(MOD(F$22+1,2)=0,0,2),IF(MOD(F$22+1,2)=0,2,0)),0)))</f>
        <v>0</v>
      </c>
      <c r="F44" s="81">
        <f>IF(F$23=0,0,IF(B44=0,0,2*INT((B44-2*($F$9-$F$8)-$F$10-IF($F$18=1,$F$8,0))/(2*$F$8)+1)-IF(D44&gt;F$23,IF($F$18=1,IF(MOD(F$23+1,2)=0,0,2),IF(MOD(F$23+1,2)=0,2,0)),0)))</f>
        <v>0</v>
      </c>
      <c r="G44" s="71">
        <v>14</v>
      </c>
      <c r="H44" s="72">
        <f>IF(E44&gt;H$25,IF($F$18=1,IF(MOD(H$25,2)=0,(H$25-1),H$25),IF(MOD(H$25,2)=0,H$25,(H$25-1))),E44)</f>
        <v>0</v>
      </c>
      <c r="I44" s="71">
        <v>14</v>
      </c>
      <c r="J44" s="73">
        <f>IF(F44&gt;J$25,IF($F$18=1,IF(MOD(J$25,2)=0,(J$25-2)/2,(J$25-1)/2),IF(MOD(J$25,2)=0,J$25/2,(J$25-1)/2)),F44/2)</f>
        <v>0</v>
      </c>
      <c r="K44" s="74">
        <f t="shared" si="2"/>
        <v>0.27599999999999997</v>
      </c>
      <c r="L44" s="75">
        <f t="shared" si="1"/>
        <v>0</v>
      </c>
      <c r="M44" s="117">
        <f>IF(D44&gt;=M$23,D44-M$23,0)</f>
        <v>0</v>
      </c>
    </row>
    <row r="45" spans="1:13" ht="15" customHeight="1">
      <c r="A45" s="76">
        <v>15</v>
      </c>
      <c r="B45" s="77">
        <f t="shared" si="0"/>
        <v>0</v>
      </c>
      <c r="C45" s="78">
        <f>IF(B45=0,0,2*INT((B45-$F$10-IF($F$18=1,0,$F$8))/(2*$F$8)+1)+IF($F$18=1,0,1))</f>
        <v>0</v>
      </c>
      <c r="D45" s="79">
        <f>IF(B45=0,0,2*INT((B45-$F$10-IF($F$18=1,0,$F$8))/(2*$F$8)+1))</f>
        <v>0</v>
      </c>
      <c r="E45" s="80">
        <f>IF(F$22=0,0,IF(B45=0,0,2*INT((B45-2*($F$9-$F$8)-$F$10-IF($F$18=1,0,$F$8))/(2*$F$8)+1)+IF($F$18=1,0,1)-IF(C45&gt;F$22,IF($F$18=1,IF(MOD(F$22+1,2)=0,2,0),IF(MOD(F$22+1,2)=0,0,2)),0)))</f>
        <v>0</v>
      </c>
      <c r="F45" s="81">
        <f>IF(F$23=0,0,IF(B45=0,0,2*INT((B45-2*($F$9-$F$8)-$F$10-IF($F$18=1,0,$F$8))/(2*$F$8)+1)-IF(D45&gt;F$23,IF($F$18=1,IF(MOD(F$23+1,2)=0,2,0),IF(MOD(F$23+1,2)=0,0,2)),0)))</f>
        <v>0</v>
      </c>
      <c r="G45" s="71">
        <v>15</v>
      </c>
      <c r="H45" s="72">
        <f>IF(E45&gt;H$25,IF($F$18=1,IF(MOD(H$25,2)=0,H$25,(H$25-1)),IF(MOD(H$25,2)=0,(H$25-1),H$25)),E45)</f>
        <v>0</v>
      </c>
      <c r="I45" s="71">
        <v>15</v>
      </c>
      <c r="J45" s="73">
        <f>IF(F45&gt;J$25,IF($F$18=1,IF(MOD(J$25,2)=0,J$25/2,(J$25-1)/2),IF(MOD(J$25,2)=0,(J$25-2)/2,(J$25-1)/2)),F45/2)</f>
        <v>0</v>
      </c>
      <c r="K45" s="74">
        <f t="shared" si="2"/>
        <v>0.2955</v>
      </c>
      <c r="L45" s="75">
        <f t="shared" si="1"/>
        <v>0</v>
      </c>
      <c r="M45" s="117">
        <f>IF(D45&gt;=M$22,D45-M$22,0)</f>
        <v>0</v>
      </c>
    </row>
    <row r="46" spans="1:13" ht="15" customHeight="1">
      <c r="A46" s="76">
        <v>16</v>
      </c>
      <c r="B46" s="77">
        <f t="shared" si="0"/>
        <v>0</v>
      </c>
      <c r="C46" s="78">
        <f>IF(B46=0,0,2*INT((B46-$F$10-IF($F$18=1,$F$8,0))/(2*$F$8)+1)+IF($F$18=1,1,0))</f>
        <v>0</v>
      </c>
      <c r="D46" s="79">
        <f>IF(B46=0,0,2*INT((B46-$F$10-IF($F$18=1,$F$8,0))/(2*$F$8)+1))</f>
        <v>0</v>
      </c>
      <c r="E46" s="80">
        <f>IF(F$22=0,0,IF(B46=0,0,2*INT((B46-2*($F$9-$F$8)-$F$10-IF($F$18=1,$F$8,0))/(2*$F$8)+1)+IF($F$18=1,1,0)-IF(C46&gt;F$22,IF($F$18=1,IF(MOD(F$22+1,2)=0,0,2),IF(MOD(F$22+1,2)=0,2,0)),0)))</f>
        <v>0</v>
      </c>
      <c r="F46" s="81">
        <f>IF(F$23=0,0,IF(B46=0,0,2*INT((B46-2*($F$9-$F$8)-$F$10-IF($F$18=1,$F$8,0))/(2*$F$8)+1)-IF(D46&gt;F$23,IF($F$18=1,IF(MOD(F$23+1,2)=0,0,2),IF(MOD(F$23+1,2)=0,2,0)),0)))</f>
        <v>0</v>
      </c>
      <c r="G46" s="71">
        <v>16</v>
      </c>
      <c r="H46" s="72">
        <f>IF(E46&gt;H$25,IF($F$18=1,IF(MOD(H$25,2)=0,(H$25-1),H$25),IF(MOD(H$25,2)=0,H$25,(H$25-1))),E46)</f>
        <v>0</v>
      </c>
      <c r="I46" s="71">
        <v>16</v>
      </c>
      <c r="J46" s="73">
        <f>IF(F46&gt;J$25,IF($F$18=1,IF(MOD(J$25,2)=0,(J$25-2)/2,(J$25-1)/2),IF(MOD(J$25,2)=0,J$25/2,(J$25-1)/2)),F46/2)</f>
        <v>0</v>
      </c>
      <c r="K46" s="74">
        <f t="shared" si="2"/>
        <v>0.315</v>
      </c>
      <c r="L46" s="75">
        <f t="shared" si="1"/>
        <v>0</v>
      </c>
      <c r="M46" s="117">
        <f>IF(D46&gt;=M$23,D46-M$23,0)</f>
        <v>0</v>
      </c>
    </row>
    <row r="47" spans="1:13" ht="15" customHeight="1">
      <c r="A47" s="76">
        <v>17</v>
      </c>
      <c r="B47" s="77">
        <f t="shared" si="0"/>
        <v>0</v>
      </c>
      <c r="C47" s="78">
        <f>IF(B47=0,0,2*INT((B47-$F$10-IF($F$18=1,0,$F$8))/(2*$F$8)+1)+IF($F$18=1,0,1))</f>
        <v>0</v>
      </c>
      <c r="D47" s="79">
        <f>IF(B47=0,0,2*INT((B47-$F$10-IF($F$18=1,0,$F$8))/(2*$F$8)+1))</f>
        <v>0</v>
      </c>
      <c r="E47" s="80">
        <f>IF(F$22=0,0,IF(B47=0,0,2*INT((B47-2*($F$9-$F$8)-$F$10-IF($F$18=1,0,$F$8))/(2*$F$8)+1)+IF($F$18=1,0,1)-IF(C47&gt;F$22,IF($F$18=1,IF(MOD(F$22+1,2)=0,2,0),IF(MOD(F$22+1,2)=0,0,2)),0)))</f>
        <v>0</v>
      </c>
      <c r="F47" s="81">
        <f>IF(F$23=0,0,IF(B47=0,0,2*INT((B47-2*($F$9-$F$8)-$F$10-IF($F$18=1,0,$F$8))/(2*$F$8)+1)-IF(D47&gt;F$23,IF($F$18=1,IF(MOD(F$23+1,2)=0,2,0),IF(MOD(F$23+1,2)=0,0,2)),0)))</f>
        <v>0</v>
      </c>
      <c r="G47" s="71">
        <v>17</v>
      </c>
      <c r="H47" s="72">
        <f>IF(E47&gt;H$25,IF($F$18=1,IF(MOD(H$25,2)=0,H$25,(H$25-1)),IF(MOD(H$25,2)=0,(H$25-1),H$25)),E47)</f>
        <v>0</v>
      </c>
      <c r="I47" s="71">
        <v>17</v>
      </c>
      <c r="J47" s="73">
        <f>IF(F47&gt;J$25,IF($F$18=1,IF(MOD(J$25,2)=0,J$25/2,(J$25-1)/2),IF(MOD(J$25,2)=0,(J$25-2)/2,(J$25-1)/2)),F47/2)</f>
        <v>0</v>
      </c>
      <c r="K47" s="74">
        <f t="shared" si="2"/>
        <v>0.3345</v>
      </c>
      <c r="L47" s="75">
        <f t="shared" si="1"/>
        <v>0</v>
      </c>
      <c r="M47" s="117">
        <f>IF(D47&gt;=M$22,D47-M$22,0)</f>
        <v>0</v>
      </c>
    </row>
    <row r="48" spans="1:13" ht="15" customHeight="1">
      <c r="A48" s="76">
        <v>18</v>
      </c>
      <c r="B48" s="77">
        <f t="shared" si="0"/>
        <v>0</v>
      </c>
      <c r="C48" s="78">
        <f>IF(B48=0,0,2*INT((B48-$F$10-IF($F$18=1,$F$8,0))/(2*$F$8)+1)+IF($F$18=1,1,0))</f>
        <v>0</v>
      </c>
      <c r="D48" s="79">
        <f>IF(B48=0,0,2*INT((B48-$F$10-IF($F$18=1,$F$8,0))/(2*$F$8)+1))</f>
        <v>0</v>
      </c>
      <c r="E48" s="80">
        <f>IF(F$22=0,0,IF(B48=0,0,2*INT((B48-2*($F$9-$F$8)-$F$10-IF($F$18=1,$F$8,0))/(2*$F$8)+1)+IF($F$18=1,1,0)-IF(C48&gt;F$22,IF($F$18=1,IF(MOD(F$22+1,2)=0,0,2),IF(MOD(F$22+1,2)=0,2,0)),0)))</f>
        <v>0</v>
      </c>
      <c r="F48" s="81">
        <f>IF(F$23=0,0,IF(B48=0,0,2*INT((B48-2*($F$9-$F$8)-$F$10-IF($F$18=1,$F$8,0))/(2*$F$8)+1)-IF(D48&gt;F$23,IF($F$18=1,IF(MOD(F$23+1,2)=0,0,2),IF(MOD(F$23+1,2)=0,2,0)),0)))</f>
        <v>0</v>
      </c>
      <c r="G48" s="71">
        <v>18</v>
      </c>
      <c r="H48" s="72">
        <f>IF(E48&gt;H$25,IF($F$18=1,IF(MOD(H$25,2)=0,(H$25-1),H$25),IF(MOD(H$25,2)=0,H$25,(H$25-1))),E48)</f>
        <v>0</v>
      </c>
      <c r="I48" s="71">
        <v>18</v>
      </c>
      <c r="J48" s="73">
        <f>IF(F48&gt;J$25,IF($F$18=1,IF(MOD(J$25,2)=0,(J$25-2)/2,(J$25-1)/2),IF(MOD(J$25,2)=0,J$25/2,(J$25-1)/2)),F48/2)</f>
        <v>0</v>
      </c>
      <c r="K48" s="74">
        <f t="shared" si="2"/>
        <v>0.35400000000000004</v>
      </c>
      <c r="L48" s="75">
        <f t="shared" si="1"/>
        <v>0</v>
      </c>
      <c r="M48" s="117">
        <f>IF(D48&gt;=M$23,D48-M$23,0)</f>
        <v>0</v>
      </c>
    </row>
    <row r="49" spans="1:13" ht="15" customHeight="1">
      <c r="A49" s="76">
        <v>19</v>
      </c>
      <c r="B49" s="77">
        <f t="shared" si="0"/>
        <v>0</v>
      </c>
      <c r="C49" s="78">
        <f>IF(B49=0,0,2*INT((B49-$F$10-IF($F$18=1,0,$F$8))/(2*$F$8)+1)+IF($F$18=1,0,1))</f>
        <v>0</v>
      </c>
      <c r="D49" s="79">
        <f>IF(B49=0,0,2*INT((B49-$F$10-IF($F$18=1,0,$F$8))/(2*$F$8)+1))</f>
        <v>0</v>
      </c>
      <c r="E49" s="80">
        <f>IF(F$22=0,0,IF(B49=0,0,2*INT((B49-2*($F$9-$F$8)-$F$10-IF($F$18=1,0,$F$8))/(2*$F$8)+1)+IF($F$18=1,0,1)-IF(C49&gt;F$22,IF($F$18=1,IF(MOD(F$22+1,2)=0,2,0),IF(MOD(F$22+1,2)=0,0,2)),0)))</f>
        <v>0</v>
      </c>
      <c r="F49" s="81">
        <f>IF(F$23=0,0,IF(B49=0,0,2*INT((B49-2*($F$9-$F$8)-$F$10-IF($F$18=1,0,$F$8))/(2*$F$8)+1)-IF(D49&gt;F$23,IF($F$18=1,IF(MOD(F$23+1,2)=0,2,0),IF(MOD(F$23+1,2)=0,0,2)),0)))</f>
        <v>0</v>
      </c>
      <c r="G49" s="71">
        <v>19</v>
      </c>
      <c r="H49" s="72">
        <f>IF(E49&gt;H$25,IF($F$18=1,IF(MOD(H$25,2)=0,H$25,(H$25-1)),IF(MOD(H$25,2)=0,(H$25-1),H$25)),E49)</f>
        <v>0</v>
      </c>
      <c r="I49" s="71">
        <v>19</v>
      </c>
      <c r="J49" s="73">
        <f>IF(F49&gt;J$25,IF($F$18=1,IF(MOD(J$25,2)=0,J$25/2,(J$25-1)/2),IF(MOD(J$25,2)=0,(J$25-2)/2,(J$25-1)/2)),F49/2)</f>
        <v>0</v>
      </c>
      <c r="K49" s="74">
        <f t="shared" si="2"/>
        <v>0.37350000000000005</v>
      </c>
      <c r="L49" s="75">
        <f t="shared" si="1"/>
        <v>0</v>
      </c>
      <c r="M49" s="117">
        <f>IF(D49&gt;=M$22,D49-M$22,0)</f>
        <v>0</v>
      </c>
    </row>
    <row r="50" spans="1:13" ht="15" customHeight="1">
      <c r="A50" s="82">
        <v>20</v>
      </c>
      <c r="B50" s="83">
        <f t="shared" si="0"/>
        <v>0</v>
      </c>
      <c r="C50" s="84">
        <f>IF(B50=0,0,2*INT((B50-$F$10-IF($F$18=1,$F$8,0))/(2*$F$8)+1)+IF($F$18=1,1,0))</f>
        <v>0</v>
      </c>
      <c r="D50" s="85">
        <f>IF(B50=0,0,2*INT((B50-$F$10-IF($F$18=1,$F$8,0))/(2*$F$8)+1))</f>
        <v>0</v>
      </c>
      <c r="E50" s="86">
        <f>IF(F$22=0,0,IF(B50=0,0,2*INT((B50-2*($F$9-$F$8)-$F$10-IF($F$18=1,$F$8,0))/(2*$F$8)+1)+IF($F$18=1,1,0)-IF(C50&gt;F$22,IF($F$18=1,IF(MOD(F$22+1,2)=0,0,2),IF(MOD(F$22+1,2)=0,2,0)),0)))</f>
        <v>0</v>
      </c>
      <c r="F50" s="87">
        <f>IF(F$23=0,0,IF(B50=0,0,2*INT((B50-2*($F$9-$F$8)-$F$10-IF($F$18=1,$F$8,0))/(2*$F$8)+1)-IF(D50&gt;F$23,IF($F$18=1,IF(MOD(F$23+1,2)=0,0,2),IF(MOD(F$23+1,2)=0,2,0)),0)))</f>
        <v>0</v>
      </c>
      <c r="G50" s="59">
        <v>20</v>
      </c>
      <c r="H50" s="60">
        <f>IF(E50&gt;H$25,IF($F$18=1,IF(MOD(H$25,2)=0,(H$25-1),H$25),IF(MOD(H$25,2)=0,H$25,(H$25-1))),E50)</f>
        <v>0</v>
      </c>
      <c r="I50" s="59">
        <v>20</v>
      </c>
      <c r="J50" s="61">
        <f>IF(F50&gt;J$25,IF($F$18=1,IF(MOD(J$25,2)=0,(J$25-2)/2,(J$25-1)/2),IF(MOD(J$25,2)=0,J$25/2,(J$25-1)/2)),F50/2)</f>
        <v>0</v>
      </c>
      <c r="K50" s="88">
        <f t="shared" si="2"/>
        <v>0.39300000000000007</v>
      </c>
      <c r="L50" s="89">
        <f t="shared" si="1"/>
        <v>0</v>
      </c>
      <c r="M50" s="118">
        <f>IF(D50&gt;=M$23,D50-M$23,0)</f>
        <v>0</v>
      </c>
    </row>
    <row r="51" spans="1:13" ht="15" customHeight="1">
      <c r="A51" s="65">
        <v>21</v>
      </c>
      <c r="B51" s="66">
        <f t="shared" si="0"/>
        <v>0</v>
      </c>
      <c r="C51" s="67">
        <f>IF(B51=0,0,2*INT((B51-$F$10-IF($F$18=1,0,$F$8))/(2*$F$8)+1)+IF($F$18=1,0,1))</f>
        <v>0</v>
      </c>
      <c r="D51" s="68">
        <f>IF(B51=0,0,2*INT((B51-$F$10-IF($F$18=1,0,$F$8))/(2*$F$8)+1))</f>
        <v>0</v>
      </c>
      <c r="E51" s="69">
        <f>IF(F$22=0,0,IF(B51=0,0,2*INT((B51-2*($F$9-$F$8)-$F$10-IF($F$18=1,0,$F$8))/(2*$F$8)+1)+IF($F$18=1,0,1)-IF(C51&gt;F$22,IF($F$18=1,IF(MOD(F$22+1,2)=0,2,0),IF(MOD(F$22+1,2)=0,0,2)),0)))</f>
        <v>0</v>
      </c>
      <c r="F51" s="70">
        <f>IF(F$23=0,0,IF(B51=0,0,2*INT((B51-2*($F$9-$F$8)-$F$10-IF($F$18=1,0,$F$8))/(2*$F$8)+1)-IF(D51&gt;F$23,IF($F$18=1,IF(MOD(F$23+1,2)=0,2,0),IF(MOD(F$23+1,2)=0,0,2)),0)))</f>
        <v>0</v>
      </c>
      <c r="G51" s="71">
        <v>21</v>
      </c>
      <c r="H51" s="72">
        <f>IF(E51&gt;H$25,IF($F$18=1,IF(MOD(H$25,2)=0,H$25,(H$25-1)),IF(MOD(H$25,2)=0,(H$25-1),H$25)),E51)</f>
        <v>0</v>
      </c>
      <c r="I51" s="71">
        <v>21</v>
      </c>
      <c r="J51" s="73">
        <f>IF(F51&gt;J$25,IF($F$18=1,IF(MOD(J$25,2)=0,J$25/2,(J$25-1)/2),IF(MOD(J$25,2)=0,(J$25-2)/2,(J$25-1)/2)),F51/2)</f>
        <v>0</v>
      </c>
      <c r="K51" s="74">
        <f t="shared" si="2"/>
        <v>0.4125000000000001</v>
      </c>
      <c r="L51" s="75">
        <f t="shared" si="1"/>
        <v>0</v>
      </c>
      <c r="M51" s="117">
        <f>IF(D51&gt;=M$22,D51-M$22,0)</f>
        <v>0</v>
      </c>
    </row>
    <row r="52" spans="1:13" ht="15" customHeight="1">
      <c r="A52" s="76">
        <v>22</v>
      </c>
      <c r="B52" s="77">
        <f t="shared" si="0"/>
        <v>0</v>
      </c>
      <c r="C52" s="78">
        <f>IF(B52=0,0,2*INT((B52-$F$10-IF($F$18=1,$F$8,0))/(2*$F$8)+1)+IF($F$18=1,1,0))</f>
        <v>0</v>
      </c>
      <c r="D52" s="79">
        <f>IF(B52=0,0,2*INT((B52-$F$10-IF($F$18=1,$F$8,0))/(2*$F$8)+1))</f>
        <v>0</v>
      </c>
      <c r="E52" s="80">
        <f>IF(F$22=0,0,IF(B52=0,0,2*INT((B52-2*($F$9-$F$8)-$F$10-IF($F$18=1,$F$8,0))/(2*$F$8)+1)+IF($F$18=1,1,0)-IF(C52&gt;F$22,IF($F$18=1,IF(MOD(F$22+1,2)=0,0,2),IF(MOD(F$22+1,2)=0,2,0)),0)))</f>
        <v>0</v>
      </c>
      <c r="F52" s="81">
        <f>IF(F$23=0,0,IF(B52=0,0,2*INT((B52-2*($F$9-$F$8)-$F$10-IF($F$18=1,$F$8,0))/(2*$F$8)+1)-IF(D52&gt;F$23,IF($F$18=1,IF(MOD(F$23+1,2)=0,0,2),IF(MOD(F$23+1,2)=0,2,0)),0)))</f>
        <v>0</v>
      </c>
      <c r="G52" s="71">
        <v>22</v>
      </c>
      <c r="H52" s="72">
        <f>IF(E52&gt;H$25,IF($F$18=1,IF(MOD(H$25,2)=0,(H$25-1),H$25),IF(MOD(H$25,2)=0,H$25,(H$25-1))),E52)</f>
        <v>0</v>
      </c>
      <c r="I52" s="71">
        <v>22</v>
      </c>
      <c r="J52" s="73">
        <f>IF(F52&gt;J$25,IF($F$18=1,IF(MOD(J$25,2)=0,(J$25-2)/2,(J$25-1)/2),IF(MOD(J$25,2)=0,J$25/2,(J$25-1)/2)),F52/2)</f>
        <v>0</v>
      </c>
      <c r="K52" s="74">
        <f t="shared" si="2"/>
        <v>0.4320000000000001</v>
      </c>
      <c r="L52" s="75">
        <f t="shared" si="1"/>
        <v>0</v>
      </c>
      <c r="M52" s="117">
        <f>IF(D52&gt;=M$23,D52-M$23,0)</f>
        <v>0</v>
      </c>
    </row>
    <row r="53" spans="1:13" ht="15" customHeight="1">
      <c r="A53" s="76">
        <v>23</v>
      </c>
      <c r="B53" s="77">
        <f t="shared" si="0"/>
        <v>0</v>
      </c>
      <c r="C53" s="78">
        <f>IF(B53=0,0,2*INT((B53-$F$10-IF($F$18=1,0,$F$8))/(2*$F$8)+1)+IF($F$18=1,0,1))</f>
        <v>0</v>
      </c>
      <c r="D53" s="79">
        <f>IF(B53=0,0,2*INT((B53-$F$10-IF($F$18=1,0,$F$8))/(2*$F$8)+1))</f>
        <v>0</v>
      </c>
      <c r="E53" s="80">
        <f>IF(F$22=0,0,IF(B53=0,0,2*INT((B53-2*($F$9-$F$8)-$F$10-IF($F$18=1,0,$F$8))/(2*$F$8)+1)+IF($F$18=1,0,1)-IF(C53&gt;F$22,IF($F$18=1,IF(MOD(F$22+1,2)=0,2,0),IF(MOD(F$22+1,2)=0,0,2)),0)))</f>
        <v>0</v>
      </c>
      <c r="F53" s="81">
        <f>IF(F$23=0,0,IF(B53=0,0,2*INT((B53-2*($F$9-$F$8)-$F$10-IF($F$18=1,0,$F$8))/(2*$F$8)+1)-IF(D53&gt;F$23,IF($F$18=1,IF(MOD(F$23+1,2)=0,2,0),IF(MOD(F$23+1,2)=0,0,2)),0)))</f>
        <v>0</v>
      </c>
      <c r="G53" s="71">
        <v>23</v>
      </c>
      <c r="H53" s="72">
        <f>IF(E53&gt;H$25,IF($F$18=1,IF(MOD(H$25,2)=0,H$25,(H$25-1)),IF(MOD(H$25,2)=0,(H$25-1),H$25)),E53)</f>
        <v>0</v>
      </c>
      <c r="I53" s="71">
        <v>23</v>
      </c>
      <c r="J53" s="73">
        <f>IF(F53&gt;J$25,IF($F$18=1,IF(MOD(J$25,2)=0,J$25/2,(J$25-1)/2),IF(MOD(J$25,2)=0,(J$25-2)/2,(J$25-1)/2)),F53/2)</f>
        <v>0</v>
      </c>
      <c r="K53" s="74">
        <f t="shared" si="2"/>
        <v>0.4515000000000001</v>
      </c>
      <c r="L53" s="75">
        <f t="shared" si="1"/>
        <v>0</v>
      </c>
      <c r="M53" s="117">
        <f>IF(D53&gt;=M$22,D53-M$22,0)</f>
        <v>0</v>
      </c>
    </row>
    <row r="54" spans="1:13" ht="15" customHeight="1">
      <c r="A54" s="76">
        <v>24</v>
      </c>
      <c r="B54" s="77">
        <f t="shared" si="0"/>
        <v>0</v>
      </c>
      <c r="C54" s="78">
        <f>IF(B54=0,0,2*INT((B54-$F$10-IF($F$18=1,$F$8,0))/(2*$F$8)+1)+IF($F$18=1,1,0))</f>
        <v>0</v>
      </c>
      <c r="D54" s="79">
        <f>IF(B54=0,0,2*INT((B54-$F$10-IF($F$18=1,$F$8,0))/(2*$F$8)+1))</f>
        <v>0</v>
      </c>
      <c r="E54" s="80">
        <f>IF(F$22=0,0,IF(B54=0,0,2*INT((B54-2*($F$9-$F$8)-$F$10-IF($F$18=1,$F$8,0))/(2*$F$8)+1)+IF($F$18=1,1,0)-IF(C54&gt;F$22,IF($F$18=1,IF(MOD(F$22+1,2)=0,0,2),IF(MOD(F$22+1,2)=0,2,0)),0)))</f>
        <v>0</v>
      </c>
      <c r="F54" s="81">
        <f>IF(F$23=0,0,IF(B54=0,0,2*INT((B54-2*($F$9-$F$8)-$F$10-IF($F$18=1,$F$8,0))/(2*$F$8)+1)-IF(D54&gt;F$23,IF($F$18=1,IF(MOD(F$23+1,2)=0,0,2),IF(MOD(F$23+1,2)=0,2,0)),0)))</f>
        <v>0</v>
      </c>
      <c r="G54" s="71">
        <v>24</v>
      </c>
      <c r="H54" s="72">
        <f>IF(E54&gt;H$25,IF($F$18=1,IF(MOD(H$25,2)=0,(H$25-1),H$25),IF(MOD(H$25,2)=0,H$25,(H$25-1))),E54)</f>
        <v>0</v>
      </c>
      <c r="I54" s="71">
        <v>24</v>
      </c>
      <c r="J54" s="73">
        <f>IF(F54&gt;J$25,IF($F$18=1,IF(MOD(J$25,2)=0,(J$25-2)/2,(J$25-1)/2),IF(MOD(J$25,2)=0,J$25/2,(J$25-1)/2)),F54/2)</f>
        <v>0</v>
      </c>
      <c r="K54" s="74">
        <f t="shared" si="2"/>
        <v>0.47100000000000014</v>
      </c>
      <c r="L54" s="75">
        <f t="shared" si="1"/>
        <v>0</v>
      </c>
      <c r="M54" s="117">
        <f>IF(D54&gt;=M$23,D54-M$23,0)</f>
        <v>0</v>
      </c>
    </row>
    <row r="55" spans="1:13" ht="15" customHeight="1">
      <c r="A55" s="76">
        <v>25</v>
      </c>
      <c r="B55" s="77">
        <f t="shared" si="0"/>
        <v>0</v>
      </c>
      <c r="C55" s="78">
        <f>IF(B55=0,0,2*INT((B55-$F$10-IF($F$18=1,0,$F$8))/(2*$F$8)+1)+IF($F$18=1,0,1))</f>
        <v>0</v>
      </c>
      <c r="D55" s="79">
        <f>IF(B55=0,0,2*INT((B55-$F$10-IF($F$18=1,0,$F$8))/(2*$F$8)+1))</f>
        <v>0</v>
      </c>
      <c r="E55" s="80">
        <f>IF(F$22=0,0,IF(B55=0,0,2*INT((B55-2*($F$9-$F$8)-$F$10-IF($F$18=1,0,$F$8))/(2*$F$8)+1)+IF($F$18=1,0,1)-IF(C55&gt;F$22,IF($F$18=1,IF(MOD(F$22+1,2)=0,2,0),IF(MOD(F$22+1,2)=0,0,2)),0)))</f>
        <v>0</v>
      </c>
      <c r="F55" s="81">
        <f>IF(F$23=0,0,IF(B55=0,0,2*INT((B55-2*($F$9-$F$8)-$F$10-IF($F$18=1,0,$F$8))/(2*$F$8)+1)-IF(D55&gt;F$23,IF($F$18=1,IF(MOD(F$23+1,2)=0,2,0),IF(MOD(F$23+1,2)=0,0,2)),0)))</f>
        <v>0</v>
      </c>
      <c r="G55" s="71">
        <v>25</v>
      </c>
      <c r="H55" s="72">
        <f>IF(E55&gt;H$25,IF($F$18=1,IF(MOD(H$25,2)=0,H$25,(H$25-1)),IF(MOD(H$25,2)=0,(H$25-1),H$25)),E55)</f>
        <v>0</v>
      </c>
      <c r="I55" s="71">
        <v>25</v>
      </c>
      <c r="J55" s="73">
        <f>IF(F55&gt;J$25,IF($F$18=1,IF(MOD(J$25,2)=0,J$25/2,(J$25-1)/2),IF(MOD(J$25,2)=0,(J$25-2)/2,(J$25-1)/2)),F55/2)</f>
        <v>0</v>
      </c>
      <c r="K55" s="74">
        <f t="shared" si="2"/>
        <v>0.49050000000000016</v>
      </c>
      <c r="L55" s="75">
        <f t="shared" si="1"/>
        <v>0</v>
      </c>
      <c r="M55" s="117">
        <f>IF(D55&gt;=M$22,D55-M$22,0)</f>
        <v>0</v>
      </c>
    </row>
    <row r="56" spans="1:13" ht="15" customHeight="1">
      <c r="A56" s="76">
        <v>26</v>
      </c>
      <c r="B56" s="77">
        <f t="shared" si="0"/>
        <v>0</v>
      </c>
      <c r="C56" s="78">
        <f>IF(B56=0,0,2*INT((B56-$F$10-IF($F$18=1,$F$8,0))/(2*$F$8)+1)+IF($F$18=1,1,0))</f>
        <v>0</v>
      </c>
      <c r="D56" s="79">
        <f>IF(B56=0,0,2*INT((B56-$F$10-IF($F$18=1,$F$8,0))/(2*$F$8)+1))</f>
        <v>0</v>
      </c>
      <c r="E56" s="80">
        <f>IF(F$22=0,0,IF(B56=0,0,2*INT((B56-2*($F$9-$F$8)-$F$10-IF($F$18=1,$F$8,0))/(2*$F$8)+1)+IF($F$18=1,1,0)-IF(C56&gt;F$22,IF($F$18=1,IF(MOD(F$22+1,2)=0,0,2),IF(MOD(F$22+1,2)=0,2,0)),0)))</f>
        <v>0</v>
      </c>
      <c r="F56" s="81">
        <f>IF(F$23=0,0,IF(B56=0,0,2*INT((B56-2*($F$9-$F$8)-$F$10-IF($F$18=1,$F$8,0))/(2*$F$8)+1)-IF(D56&gt;F$23,IF($F$18=1,IF(MOD(F$23+1,2)=0,0,2),IF(MOD(F$23+1,2)=0,2,0)),0)))</f>
        <v>0</v>
      </c>
      <c r="G56" s="71">
        <v>26</v>
      </c>
      <c r="H56" s="72">
        <f>IF(E56&gt;H$25,IF($F$18=1,IF(MOD(H$25,2)=0,(H$25-1),H$25),IF(MOD(H$25,2)=0,H$25,(H$25-1))),E56)</f>
        <v>0</v>
      </c>
      <c r="I56" s="71">
        <v>26</v>
      </c>
      <c r="J56" s="73">
        <f>IF(F56&gt;J$25,IF($F$18=1,IF(MOD(J$25,2)=0,(J$25-2)/2,(J$25-1)/2),IF(MOD(J$25,2)=0,J$25/2,(J$25-1)/2)),F56/2)</f>
        <v>0</v>
      </c>
      <c r="K56" s="74">
        <f t="shared" si="2"/>
        <v>0.5100000000000001</v>
      </c>
      <c r="L56" s="75">
        <f t="shared" si="1"/>
        <v>0</v>
      </c>
      <c r="M56" s="117">
        <f>IF(D56&gt;=M$23,D56-M$23,0)</f>
        <v>0</v>
      </c>
    </row>
    <row r="57" spans="1:13" ht="15" customHeight="1">
      <c r="A57" s="76">
        <v>27</v>
      </c>
      <c r="B57" s="77">
        <f t="shared" si="0"/>
        <v>0</v>
      </c>
      <c r="C57" s="78">
        <f>IF(B57=0,0,2*INT((B57-$F$10-IF($F$18=1,0,$F$8))/(2*$F$8)+1)+IF($F$18=1,0,1))</f>
        <v>0</v>
      </c>
      <c r="D57" s="79">
        <f>IF(B57=0,0,2*INT((B57-$F$10-IF($F$18=1,0,$F$8))/(2*$F$8)+1))</f>
        <v>0</v>
      </c>
      <c r="E57" s="80">
        <f>IF(F$22=0,0,IF(B57=0,0,2*INT((B57-2*($F$9-$F$8)-$F$10-IF($F$18=1,0,$F$8))/(2*$F$8)+1)+IF($F$18=1,0,1)-IF(C57&gt;F$22,IF($F$18=1,IF(MOD(F$22+1,2)=0,2,0),IF(MOD(F$22+1,2)=0,0,2)),0)))</f>
        <v>0</v>
      </c>
      <c r="F57" s="81">
        <f>IF(F$23=0,0,IF(B57=0,0,2*INT((B57-2*($F$9-$F$8)-$F$10-IF($F$18=1,0,$F$8))/(2*$F$8)+1)-IF(D57&gt;F$23,IF($F$18=1,IF(MOD(F$23+1,2)=0,2,0),IF(MOD(F$23+1,2)=0,0,2)),0)))</f>
        <v>0</v>
      </c>
      <c r="G57" s="71">
        <v>27</v>
      </c>
      <c r="H57" s="72">
        <f>IF(E57&gt;H$25,IF($F$18=1,IF(MOD(H$25,2)=0,H$25,(H$25-1)),IF(MOD(H$25,2)=0,(H$25-1),H$25)),E57)</f>
        <v>0</v>
      </c>
      <c r="I57" s="71">
        <v>27</v>
      </c>
      <c r="J57" s="73">
        <f>IF(F57&gt;J$25,IF($F$18=1,IF(MOD(J$25,2)=0,J$25/2,(J$25-1)/2),IF(MOD(J$25,2)=0,(J$25-2)/2,(J$25-1)/2)),F57/2)</f>
        <v>0</v>
      </c>
      <c r="K57" s="74">
        <f t="shared" si="2"/>
        <v>0.5295000000000001</v>
      </c>
      <c r="L57" s="75">
        <f t="shared" si="1"/>
        <v>0</v>
      </c>
      <c r="M57" s="117">
        <f>IF(D57&gt;=M$22,D57-M$22,0)</f>
        <v>0</v>
      </c>
    </row>
    <row r="58" spans="1:13" ht="15" customHeight="1">
      <c r="A58" s="76">
        <v>28</v>
      </c>
      <c r="B58" s="77">
        <f t="shared" si="0"/>
        <v>0</v>
      </c>
      <c r="C58" s="78">
        <f>IF(B58=0,0,2*INT((B58-$F$10-IF($F$18=1,$F$8,0))/(2*$F$8)+1)+IF($F$18=1,1,0))</f>
        <v>0</v>
      </c>
      <c r="D58" s="79">
        <f>IF(B58=0,0,2*INT((B58-$F$10-IF($F$18=1,$F$8,0))/(2*$F$8)+1))</f>
        <v>0</v>
      </c>
      <c r="E58" s="80">
        <f>IF(F$22=0,0,IF(B58=0,0,2*INT((B58-2*($F$9-$F$8)-$F$10-IF($F$18=1,$F$8,0))/(2*$F$8)+1)+IF($F$18=1,1,0)-IF(C58&gt;F$22,IF($F$18=1,IF(MOD(F$22+1,2)=0,0,2),IF(MOD(F$22+1,2)=0,2,0)),0)))</f>
        <v>0</v>
      </c>
      <c r="F58" s="81">
        <f>IF(F$23=0,0,IF(B58=0,0,2*INT((B58-2*($F$9-$F$8)-$F$10-IF($F$18=1,$F$8,0))/(2*$F$8)+1)-IF(D58&gt;F$23,IF($F$18=1,IF(MOD(F$23+1,2)=0,0,2),IF(MOD(F$23+1,2)=0,2,0)),0)))</f>
        <v>0</v>
      </c>
      <c r="G58" s="71">
        <v>28</v>
      </c>
      <c r="H58" s="72">
        <f>IF(E58&gt;H$25,IF($F$18=1,IF(MOD(H$25,2)=0,(H$25-1),H$25),IF(MOD(H$25,2)=0,H$25,(H$25-1))),E58)</f>
        <v>0</v>
      </c>
      <c r="I58" s="71">
        <v>28</v>
      </c>
      <c r="J58" s="73">
        <f>IF(F58&gt;J$25,IF($F$18=1,IF(MOD(J$25,2)=0,(J$25-2)/2,(J$25-1)/2),IF(MOD(J$25,2)=0,J$25/2,(J$25-1)/2)),F58/2)</f>
        <v>0</v>
      </c>
      <c r="K58" s="74">
        <f t="shared" si="2"/>
        <v>0.549</v>
      </c>
      <c r="L58" s="75">
        <f t="shared" si="1"/>
        <v>0</v>
      </c>
      <c r="M58" s="117">
        <f>IF(D58&gt;=M$23,D58-M$23,0)</f>
        <v>0</v>
      </c>
    </row>
    <row r="59" spans="1:15" ht="15" customHeight="1">
      <c r="A59" s="76">
        <v>29</v>
      </c>
      <c r="B59" s="77">
        <f t="shared" si="0"/>
        <v>0</v>
      </c>
      <c r="C59" s="78">
        <f>IF(B59=0,0,2*INT((B59-$F$10-IF($F$18=1,0,$F$8))/(2*$F$8)+1)+IF($F$18=1,0,1))</f>
        <v>0</v>
      </c>
      <c r="D59" s="79">
        <f>IF(B59=0,0,2*INT((B59-$F$10-IF($F$18=1,0,$F$8))/(2*$F$8)+1))</f>
        <v>0</v>
      </c>
      <c r="E59" s="80">
        <f>IF(F$22=0,0,IF(B59=0,0,2*INT((B59-2*($F$9-$F$8)-$F$10-IF($F$18=1,0,$F$8))/(2*$F$8)+1)+IF($F$18=1,0,1)-IF(C59&gt;F$22,IF($F$18=1,IF(MOD(F$22+1,2)=0,2,0),IF(MOD(F$22+1,2)=0,0,2)),0)))</f>
        <v>0</v>
      </c>
      <c r="F59" s="81">
        <f>IF(F$23=0,0,IF(B59=0,0,2*INT((B59-2*($F$9-$F$8)-$F$10-IF($F$18=1,0,$F$8))/(2*$F$8)+1)-IF(D59&gt;F$23,IF($F$18=1,IF(MOD(F$23+1,2)=0,2,0),IF(MOD(F$23+1,2)=0,0,2)),0)))</f>
        <v>0</v>
      </c>
      <c r="G59" s="71">
        <v>29</v>
      </c>
      <c r="H59" s="72">
        <f>IF(E59&gt;H$25,IF($F$18=1,IF(MOD(H$25,2)=0,H$25,(H$25-1)),IF(MOD(H$25,2)=0,(H$25-1),H$25)),E59)</f>
        <v>0</v>
      </c>
      <c r="I59" s="71">
        <v>29</v>
      </c>
      <c r="J59" s="73">
        <f>IF(F59&gt;J$25,IF($F$18=1,IF(MOD(J$25,2)=0,J$25/2,(J$25-1)/2),IF(MOD(J$25,2)=0,(J$25-2)/2,(J$25-1)/2)),F59/2)</f>
        <v>0</v>
      </c>
      <c r="K59" s="74">
        <f t="shared" si="2"/>
        <v>0.5685</v>
      </c>
      <c r="L59" s="75">
        <f t="shared" si="1"/>
        <v>0</v>
      </c>
      <c r="M59" s="117">
        <f>IF(D59&gt;=M$22,D59-M$22,0)</f>
        <v>0</v>
      </c>
      <c r="O59" s="119"/>
    </row>
    <row r="60" spans="1:15" ht="15" customHeight="1" thickBot="1">
      <c r="A60" s="82">
        <v>30</v>
      </c>
      <c r="B60" s="90">
        <f t="shared" si="0"/>
        <v>0</v>
      </c>
      <c r="C60" s="91">
        <f>IF(B60=0,0,2*INT((B60-$F$10-IF($F$18=1,$F$8,0))/(2*$F$8)+1)+IF($F$18=1,1,0))</f>
        <v>0</v>
      </c>
      <c r="D60" s="92">
        <f>IF(B60=0,0,2*INT((B60-$F$10-IF($F$18=1,$F$8,0))/(2*$F$8)+1))</f>
        <v>0</v>
      </c>
      <c r="E60" s="93">
        <f>IF(F$22=0,0,IF(B60=0,0,2*INT((B60-2*($F$9-$F$8)-$F$10-IF($F$18=1,$F$8,0))/(2*$F$8)+1)+IF($F$18=1,1,0)-IF(C60&gt;F$22,IF($F$18=1,IF(MOD(F$22+1,2)=0,0,2),IF(MOD(F$22+1,2)=0,2,0)),0)))</f>
        <v>0</v>
      </c>
      <c r="F60" s="94">
        <f>IF(F$23=0,0,IF(B60=0,0,2*INT((B60-2*($F$9-$F$8)-$F$10-IF($F$18=1,$F$8,0))/(2*$F$8)+1)-IF(D60&gt;F$23,IF($F$18=1,IF(MOD(F$23+1,2)=0,0,2),IF(MOD(F$23+1,2)=0,2,0)),0)))</f>
        <v>0</v>
      </c>
      <c r="G60" s="95">
        <v>30</v>
      </c>
      <c r="H60" s="96">
        <f>IF(E60&gt;H$25,IF($F$18=1,IF(MOD(H$25,2)=0,(H$25-1),H$25),IF(MOD(H$25,2)=0,H$25,(H$25-1))),E60)</f>
        <v>0</v>
      </c>
      <c r="I60" s="95">
        <v>30</v>
      </c>
      <c r="J60" s="97">
        <f>IF(F60&gt;J$25,IF($F$18=1,IF(MOD(J$25,2)=0,(J$25-2)/2,(J$25-1)/2),IF(MOD(J$25,2)=0,J$25/2,(J$25-1)/2)),F60/2)</f>
        <v>0</v>
      </c>
      <c r="K60" s="98">
        <f t="shared" si="2"/>
        <v>0.588</v>
      </c>
      <c r="L60" s="99">
        <f t="shared" si="1"/>
        <v>0</v>
      </c>
      <c r="M60" s="120">
        <f>IF(D60&gt;=M$23,D60-M$23,0)</f>
        <v>0</v>
      </c>
      <c r="O60" s="119"/>
    </row>
    <row r="61" spans="1:13" ht="15" customHeight="1">
      <c r="A61" s="169" t="s">
        <v>13</v>
      </c>
      <c r="B61" s="153" t="s">
        <v>39</v>
      </c>
      <c r="C61" s="139" t="s">
        <v>69</v>
      </c>
      <c r="D61" s="139" t="s">
        <v>70</v>
      </c>
      <c r="E61" s="139" t="s">
        <v>71</v>
      </c>
      <c r="F61" s="139" t="s">
        <v>72</v>
      </c>
      <c r="G61" s="8" t="s">
        <v>14</v>
      </c>
      <c r="H61" s="139" t="s">
        <v>73</v>
      </c>
      <c r="I61" s="8" t="s">
        <v>14</v>
      </c>
      <c r="J61" s="139" t="s">
        <v>74</v>
      </c>
      <c r="K61" s="154" t="s">
        <v>75</v>
      </c>
      <c r="L61" s="57">
        <f>SUM(L31:L60)</f>
        <v>14.697</v>
      </c>
      <c r="M61" s="151" t="s">
        <v>76</v>
      </c>
    </row>
    <row r="62" spans="1:13" ht="15" customHeight="1">
      <c r="A62" s="140" t="s">
        <v>15</v>
      </c>
      <c r="B62" s="57">
        <f>M8</f>
        <v>0.5</v>
      </c>
      <c r="C62" s="55">
        <f>2*SUM(C31:C60)</f>
        <v>310</v>
      </c>
      <c r="D62" s="56">
        <f>2*SUM(D31:D60)</f>
        <v>300</v>
      </c>
      <c r="E62" s="57">
        <f>2*SUM(E31:E60)</f>
        <v>282</v>
      </c>
      <c r="F62" s="100">
        <f>2*SUM(F31:F60)</f>
        <v>276</v>
      </c>
      <c r="G62" s="101" t="s">
        <v>16</v>
      </c>
      <c r="H62" s="80">
        <f>IF(H63=0,0,(E62/2-H63)/2)</f>
        <v>46</v>
      </c>
      <c r="I62" s="101" t="s">
        <v>17</v>
      </c>
      <c r="J62" s="102">
        <f>IF(J63=0,0,(F62/2-2*J63)/2)</f>
        <v>36</v>
      </c>
      <c r="K62" s="152" t="s">
        <v>38</v>
      </c>
      <c r="L62" s="103">
        <f>M11*PI()^2*L61</f>
        <v>2.610964365890585</v>
      </c>
      <c r="M62" s="121">
        <f>SUM(M31:M60)</f>
        <v>50</v>
      </c>
    </row>
    <row r="63" spans="1:10" ht="15" customHeight="1">
      <c r="A63" s="104"/>
      <c r="C63" s="171" t="s">
        <v>115</v>
      </c>
      <c r="D63" s="4"/>
      <c r="E63" s="7"/>
      <c r="F63" s="5"/>
      <c r="G63" s="105" t="s">
        <v>18</v>
      </c>
      <c r="H63" s="86">
        <f>SUM(H31:H60)</f>
        <v>49</v>
      </c>
      <c r="I63" s="105" t="s">
        <v>19</v>
      </c>
      <c r="J63" s="106">
        <f>SUM(J31:J60)</f>
        <v>33</v>
      </c>
    </row>
    <row r="64" spans="1:11" ht="15" customHeight="1">
      <c r="A64" s="12"/>
      <c r="F64" s="107"/>
      <c r="H64" s="108"/>
      <c r="J64" s="107"/>
      <c r="K64" s="107"/>
    </row>
    <row r="65" spans="2:3" ht="15" customHeight="1">
      <c r="B65" s="141"/>
      <c r="C65" s="14"/>
    </row>
    <row r="66" spans="2:11" ht="15" customHeight="1">
      <c r="B66" s="14"/>
      <c r="C66" s="142"/>
      <c r="I66" s="122"/>
      <c r="J66" s="14"/>
      <c r="K66" s="123"/>
    </row>
    <row r="67" spans="9:12" ht="15" customHeight="1">
      <c r="I67" s="122"/>
      <c r="J67" s="14"/>
      <c r="K67" s="143"/>
      <c r="L67" s="107"/>
    </row>
    <row r="68" spans="9:12" ht="15" customHeight="1">
      <c r="I68" s="124"/>
      <c r="J68" s="113"/>
      <c r="K68" s="143"/>
      <c r="L68" s="143"/>
    </row>
    <row r="69" spans="9:11" ht="15" customHeight="1">
      <c r="I69" s="124"/>
      <c r="J69" s="113"/>
      <c r="K69" s="124"/>
    </row>
    <row r="70" spans="1:11" ht="12.75">
      <c r="A70" s="158"/>
      <c r="I70" s="124"/>
      <c r="J70" s="113"/>
      <c r="K70" s="125"/>
    </row>
    <row r="71" spans="1:11" ht="12.75">
      <c r="A71" s="158"/>
      <c r="I71" s="126"/>
      <c r="J71" s="14"/>
      <c r="K71" s="125"/>
    </row>
    <row r="74" ht="12.75">
      <c r="A74" s="158"/>
    </row>
  </sheetData>
  <sheetProtection password="C784" sheet="1" objects="1" scenarios="1"/>
  <dataValidations count="12">
    <dataValidation allowBlank="1" showInputMessage="1" showErrorMessage="1" promptTitle="DEBLJINA ZIDA CEVI REGISTRA" prompt="Obavezan podatak" sqref="M12"/>
    <dataValidation allowBlank="1" showInputMessage="1" showErrorMessage="1" promptTitle="BROJ PRVOG REDA OKNA" prompt="Izracunati broj definise  Ho/Du  ~ 25%" sqref="M18"/>
    <dataValidation allowBlank="1" showInputMessage="1" showErrorMessage="1" promptTitle="PREGRADA zr=6" prompt="Uneti broj reda cevi tako da odnos otvora u SEKCIJAMA bude priblizno isti (100%) POLJE H26" sqref="F22"/>
    <dataValidation allowBlank="1" showInputMessage="1" showErrorMessage="1" promptTitle="SPOLJNJI PRECNIK PLASTA" prompt="Uneti precnik ROLOVANOG plasta ili precnika CEVI" sqref="M8"/>
    <dataValidation allowBlank="1" showInputMessage="1" showErrorMessage="1" promptTitle="DEBLJINA ZIDA PLASTA" prompt="Uneti predpostavljenu debljinu zida plasta ili debljinu zida cevi" sqref="M9"/>
    <dataValidation type="list" allowBlank="1" showInputMessage="1" showErrorMessage="1" promptTitle="TIP RASPOREDA OTVORA U PLOCI" prompt="1 sahovski raspored, prvi otvor 11&#10;2 sahovski raspored, prvi otvor 12 ili 21" sqref="F18">
      <formula1>"1,2"</formula1>
    </dataValidation>
    <dataValidation type="list" allowBlank="1" showInputMessage="1" showErrorMessage="1" promptTitle="SPOLJNJI PRECNIK CEVI" prompt="Uneti precnik cevi iz menija" sqref="M11">
      <formula1>"0,01,0,016,0,018,0,022,0,025"</formula1>
    </dataValidation>
    <dataValidation type="list" allowBlank="1" showInputMessage="1" showErrorMessage="1" promptTitle="BROJ PROLAZA FLUIDA U REGISTRU" prompt="Uneti vrednost iz menija" sqref="F16">
      <formula1>"2,4,6,8"</formula1>
    </dataValidation>
    <dataValidation type="list" allowBlank="1" showInputMessage="1" showErrorMessage="1" promptTitle="BROJ PROLAZA FLUIDA U OMOTACU" prompt="Uneti vrednost iz menija" sqref="F17">
      <formula1>"1,2,4"</formula1>
    </dataValidation>
    <dataValidation allowBlank="1" showInputMessage="1" showErrorMessage="1" promptTitle="KORACI MREZNOG RASPOREDA" prompt="Nijedan korak ne moze biti manji od poluprecnika otvora u cevnoj ploci" sqref="F8:F12"/>
    <dataValidation allowBlank="1" showInputMessage="1" showErrorMessage="1" promptTitle="ZADAT MINIMALNI ZAZOR" prompt="Neobavezan podatak" sqref="M14"/>
    <dataValidation allowBlank="1" showInputMessage="1" showErrorMessage="1" promptTitle="PREGRADA zr=8" prompt="Uneti broj reda cevi tako da odnos otvora u SEKCIJAMA bude priblizno isti (100%)  POLJE J26" sqref="F23"/>
  </dataValidations>
  <printOptions/>
  <pageMargins left="0.75" right="0.25" top="0.6" bottom="0.2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EXCELOVA PODRSKA KNJIGE</dc:title>
  <dc:subject>Dobosasti razmenjivaci toplote</dc:subject>
  <dc:creator>Rikalovic Milan</dc:creator>
  <cp:keywords>Razmenjivac toplote</cp:keywords>
  <dc:description>Aplikacija za podrsku knjige
DOBOSASTI RAZMENJIVACI TOPLOTE
Verzija 2</dc:description>
  <cp:lastModifiedBy>Dusan</cp:lastModifiedBy>
  <cp:lastPrinted>2017-05-18T22:44:10Z</cp:lastPrinted>
  <dcterms:created xsi:type="dcterms:W3CDTF">1999-12-25T14:09:33Z</dcterms:created>
  <dcterms:modified xsi:type="dcterms:W3CDTF">2017-05-20T16:42:08Z</dcterms:modified>
  <cp:category>Excelova aplikacija</cp:category>
  <cp:version/>
  <cp:contentType/>
  <cp:contentStatus/>
</cp:coreProperties>
</file>