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MEHANIKA" sheetId="1" r:id="rId1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<sst xmlns="http://schemas.openxmlformats.org/spreadsheetml/2006/main" count="331" uniqueCount="206">
  <si>
    <t>P</t>
  </si>
  <si>
    <t>Cu</t>
  </si>
  <si>
    <t>A</t>
  </si>
  <si>
    <t>B</t>
  </si>
  <si>
    <t>Materijal</t>
  </si>
  <si>
    <r>
      <t>t</t>
    </r>
    <r>
      <rPr>
        <sz val="8"/>
        <color indexed="8"/>
        <rFont val="YU L Swiss"/>
        <family val="2"/>
      </rPr>
      <t>pr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C]</t>
    </r>
  </si>
  <si>
    <t>Prora~unska temperatura primara</t>
  </si>
  <si>
    <t>Prora~unska temperatura sekundara</t>
  </si>
  <si>
    <t>Prora~unski pritisak primara</t>
  </si>
  <si>
    <t>Prora~unski pritisak sekundara</t>
  </si>
  <si>
    <t>Ispitni pritisak primara</t>
  </si>
  <si>
    <t>Ispitni pritisak sekundara</t>
  </si>
  <si>
    <t>Primarni fluid struji kroz</t>
  </si>
  <si>
    <t>REGISTAR</t>
  </si>
  <si>
    <t>Plitko</t>
  </si>
  <si>
    <t>Materijal danca</t>
  </si>
  <si>
    <t>Stepen sigurnosti</t>
  </si>
  <si>
    <t>Dodatak odstupanja</t>
  </si>
  <si>
    <t>Dodatak na koroziju</t>
  </si>
  <si>
    <t>Faktor uticaja</t>
  </si>
  <si>
    <t>Izvedena debljina</t>
  </si>
  <si>
    <t>Pritisak ulubljivanja</t>
  </si>
  <si>
    <t>Valjanost zavar. spoja</t>
  </si>
  <si>
    <t>Oblik danca</t>
  </si>
  <si>
    <t>RAVNO</t>
  </si>
  <si>
    <t>GLAVA</t>
  </si>
  <si>
    <t>Ocena uticaja</t>
  </si>
  <si>
    <t>ulubljivanja</t>
  </si>
  <si>
    <t>TORUS</t>
  </si>
  <si>
    <t>SFERA</t>
  </si>
  <si>
    <t>Horizontalni korak ocevljenja</t>
  </si>
  <si>
    <t>Cevi registra</t>
  </si>
  <si>
    <t>RADNO</t>
  </si>
  <si>
    <t>ISPITNO</t>
  </si>
  <si>
    <t>UGRAD</t>
  </si>
  <si>
    <t>STANJE</t>
  </si>
  <si>
    <t>Materijal vijka</t>
  </si>
  <si>
    <t>K^ 8.8</t>
  </si>
  <si>
    <t>Stepen sigurnosti zaptivanja</t>
  </si>
  <si>
    <t>Konstrukcioni dodatak</t>
  </si>
  <si>
    <t>Sila pritiska zaptivanja</t>
  </si>
  <si>
    <t>Sila ugradnog stanja</t>
  </si>
  <si>
    <t>Min. pritisak zaptivanja</t>
  </si>
  <si>
    <t>Ostvareni pritisak zaptivanja</t>
  </si>
  <si>
    <t>Ocena zaptivanja</t>
  </si>
  <si>
    <t>[ - ]</t>
  </si>
  <si>
    <t>Sila pritezanja vijka</t>
  </si>
  <si>
    <t>Usvojeni vijak</t>
  </si>
  <si>
    <t>M</t>
  </si>
  <si>
    <r>
      <t>a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</si>
  <si>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r>
      <t>j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</si>
  <si>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r>
      <t>m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</si>
  <si>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r>
      <t>r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</si>
  <si>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t>Navojni profil</t>
  </si>
  <si>
    <t>Moment pritezanja vijka</t>
  </si>
  <si>
    <t>Krak sile</t>
  </si>
  <si>
    <t>Zbirno dejstvo pritiska</t>
  </si>
  <si>
    <t>OK</t>
  </si>
  <si>
    <t>Osni razmak vijaka</t>
  </si>
  <si>
    <t>D.</t>
  </si>
  <si>
    <t>E.</t>
  </si>
  <si>
    <t>Sila u vijku</t>
  </si>
  <si>
    <t>Materijal prirubnica</t>
  </si>
  <si>
    <r>
      <t>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</si>
  <si>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s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</si>
  <si>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a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</si>
  <si>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t>Sp/unutr. pre~nik prirubnice</t>
  </si>
  <si>
    <t>Pre~nik otvora i kruga za vijke</t>
  </si>
  <si>
    <t>[irina i pre~nik zaptiva~a</t>
  </si>
  <si>
    <t>PRIRUBNICE</t>
  </si>
  <si>
    <t>Otporni moment</t>
  </si>
  <si>
    <r>
      <t>F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</si>
  <si>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t>Stepen sigurnosti S i S'</t>
  </si>
  <si>
    <t>Visina oboda prirubnice</t>
  </si>
  <si>
    <t>Usvojena visina oboda</t>
  </si>
  <si>
    <t>Vertikalni korak ocevljenja</t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</si>
  <si>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</si>
  <si>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o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</si>
  <si>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p</t>
    </r>
    <r>
      <rPr>
        <i/>
        <vertAlign val="subscript"/>
        <sz val="12"/>
        <color indexed="8"/>
        <rFont val="Times New Roman"/>
        <family val="1"/>
      </rPr>
      <t>p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</si>
  <si>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s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</si>
  <si>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pi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</si>
  <si>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si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</si>
  <si>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</si>
  <si>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</si>
  <si>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</si>
  <si>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</si>
  <si>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t</t>
    </r>
    <r>
      <rPr>
        <i/>
        <vertAlign val="subscript"/>
        <sz val="12"/>
        <rFont val="Times New Roman"/>
        <family val="1"/>
      </rPr>
      <t>pr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</si>
  <si>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p</t>
    </r>
    <r>
      <rPr>
        <i/>
        <vertAlign val="subscript"/>
        <sz val="12"/>
        <color indexed="8"/>
        <rFont val="Times New Roman"/>
        <family val="1"/>
      </rPr>
      <t>pr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</si>
  <si>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K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</si>
  <si>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E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</si>
  <si>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S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</si>
  <si>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v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</si>
  <si>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c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</si>
  <si>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c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</si>
  <si>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(s</t>
    </r>
    <r>
      <rPr>
        <i/>
        <vertAlign val="subscript"/>
        <sz val="11"/>
        <color indexed="8"/>
        <rFont val="Times New Roman"/>
        <family val="1"/>
      </rPr>
      <t>e</t>
    </r>
    <r>
      <rPr>
        <i/>
        <sz val="11"/>
        <color indexed="8"/>
        <rFont val="Times New Roman"/>
        <family val="1"/>
      </rPr>
      <t>-c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-c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>D</t>
    </r>
    <r>
      <rPr>
        <i/>
        <vertAlign val="subscript"/>
        <sz val="11"/>
        <color indexed="8"/>
        <rFont val="Times New Roman"/>
        <family val="1"/>
      </rPr>
      <t>s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</si>
  <si>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</si>
  <si>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b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</si>
  <si>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C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</si>
  <si>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</si>
  <si>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s</t>
    </r>
    <r>
      <rPr>
        <i/>
        <vertAlign val="subscript"/>
        <sz val="11"/>
        <color indexed="8"/>
        <rFont val="Times New Roman"/>
        <family val="1"/>
      </rPr>
      <t>e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</si>
  <si>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E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</si>
  <si>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</si>
  <si>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i/>
        <sz val="12"/>
        <color indexed="8"/>
        <rFont val="Times New Roman"/>
        <family val="1"/>
      </rPr>
      <t xml:space="preserve"> </t>
    </r>
  </si>
  <si>
    <r>
      <t xml:space="preserve">1,5 </t>
    </r>
    <r>
      <rPr>
        <i/>
        <sz val="12"/>
        <color indexed="8"/>
        <rFont val="Times New Roman"/>
        <family val="1"/>
      </rPr>
      <t>p</t>
    </r>
    <r>
      <rPr>
        <i/>
        <vertAlign val="subscript"/>
        <sz val="12"/>
        <color indexed="8"/>
        <rFont val="Times New Roman"/>
        <family val="1"/>
      </rPr>
      <t>pr</t>
    </r>
  </si>
  <si>
    <r>
      <t xml:space="preserve">t </t>
    </r>
    <r>
      <rPr>
        <sz val="11"/>
        <color indexed="8"/>
        <rFont val="Arial"/>
        <family val="2"/>
      </rPr>
      <t>[mm]</t>
    </r>
  </si>
  <si>
    <r>
      <t>[N/mm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]</t>
    </r>
  </si>
  <si>
    <t>b</t>
  </si>
  <si>
    <r>
      <t>d</t>
    </r>
  </si>
  <si>
    <t>Jedinica mere</t>
  </si>
  <si>
    <r>
      <t>p</t>
    </r>
    <r>
      <rPr>
        <i/>
        <vertAlign val="subscript"/>
        <sz val="12"/>
        <color indexed="8"/>
        <rFont val="Times New Roman"/>
        <family val="1"/>
      </rPr>
      <t xml:space="preserve">bmax </t>
    </r>
  </si>
  <si>
    <t>[mm]</t>
  </si>
  <si>
    <r>
      <t>t</t>
    </r>
    <r>
      <rPr>
        <i/>
        <vertAlign val="subscript"/>
        <sz val="12"/>
        <color indexed="8"/>
        <rFont val="Times New Roman"/>
        <family val="1"/>
      </rPr>
      <t>pr</t>
    </r>
    <r>
      <rPr>
        <i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</si>
  <si>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</si>
  <si>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</si>
  <si>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d</t>
    </r>
    <r>
      <rPr>
        <sz val="11"/>
        <color indexed="8"/>
        <rFont val="Arial"/>
        <family val="2"/>
      </rPr>
      <t>[mm]</t>
    </r>
  </si>
  <si>
    <r>
      <t>z</t>
    </r>
    <r>
      <rPr>
        <vertAlign val="subscript"/>
        <sz val="12"/>
        <color indexed="8"/>
        <rFont val="Times New Roman"/>
        <family val="1"/>
      </rPr>
      <t>5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</si>
  <si>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S</t>
    </r>
    <r>
      <rPr>
        <i/>
        <vertAlign val="subscript"/>
        <sz val="12"/>
        <color indexed="8"/>
        <rFont val="Times New Roman"/>
        <family val="1"/>
      </rPr>
      <t>D</t>
    </r>
    <r>
      <rPr>
        <sz val="10"/>
        <color indexed="8"/>
        <rFont val="YU L Swiss"/>
        <family val="2"/>
      </rPr>
      <t xml:space="preserve"> </t>
    </r>
    <r>
      <rPr>
        <sz val="10"/>
        <color indexed="8"/>
        <rFont val="Arial"/>
        <family val="2"/>
      </rPr>
      <t>[ - ]</t>
    </r>
  </si>
  <si>
    <r>
      <t>k</t>
    </r>
    <r>
      <rPr>
        <vertAlign val="subscript"/>
        <sz val="12"/>
        <color indexed="8"/>
        <rFont val="Times New Roman"/>
        <family val="1"/>
      </rPr>
      <t>1</t>
    </r>
    <r>
      <rPr>
        <sz val="10"/>
        <color indexed="8"/>
        <rFont val="YU L Swiss"/>
        <family val="2"/>
      </rPr>
      <t xml:space="preserve"> </t>
    </r>
    <r>
      <rPr>
        <sz val="10"/>
        <color indexed="8"/>
        <rFont val="Arial"/>
        <family val="2"/>
      </rPr>
      <t>[ - ]</t>
    </r>
  </si>
  <si>
    <r>
      <t>k</t>
    </r>
    <r>
      <rPr>
        <i/>
        <vertAlign val="subscript"/>
        <sz val="11"/>
        <color indexed="8"/>
        <rFont val="Times New Roman"/>
        <family val="1"/>
      </rPr>
      <t>oKD</t>
    </r>
    <r>
      <rPr>
        <sz val="10"/>
        <color indexed="8"/>
        <rFont val="Arial"/>
        <family val="2"/>
      </rPr>
      <t>[N/mm]</t>
    </r>
  </si>
  <si>
    <r>
      <t>n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- ]</t>
    </r>
  </si>
  <si>
    <r>
      <t>Z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- ]</t>
    </r>
  </si>
  <si>
    <r>
      <t>F</t>
    </r>
    <r>
      <rPr>
        <i/>
        <vertAlign val="subscript"/>
        <sz val="12"/>
        <color indexed="8"/>
        <rFont val="Times New Roman"/>
        <family val="1"/>
      </rPr>
      <t>RB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</si>
  <si>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n</t>
    </r>
    <r>
      <rPr>
        <i/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Arial"/>
        <family val="2"/>
      </rPr>
      <t>[ - ]</t>
    </r>
  </si>
  <si>
    <r>
      <t>F</t>
    </r>
    <r>
      <rPr>
        <i/>
        <vertAlign val="subscript"/>
        <sz val="12"/>
        <color indexed="8"/>
        <rFont val="Times New Roman"/>
        <family val="1"/>
      </rPr>
      <t>FB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</si>
  <si>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DB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</si>
  <si>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SB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</si>
  <si>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DV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</si>
  <si>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DVu</t>
    </r>
    <r>
      <rPr>
        <sz val="11"/>
        <color indexed="8"/>
        <rFont val="Arial"/>
        <family val="2"/>
      </rPr>
      <t>[kN]</t>
    </r>
  </si>
  <si>
    <r>
      <t>d'</t>
    </r>
    <r>
      <rPr>
        <i/>
        <vertAlign val="subscript"/>
        <sz val="12"/>
        <color indexed="8"/>
        <rFont val="Times New Roman"/>
        <family val="1"/>
      </rPr>
      <t>k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</si>
  <si>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k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</si>
  <si>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p</t>
    </r>
    <r>
      <rPr>
        <i/>
        <vertAlign val="subscript"/>
        <sz val="11"/>
        <color indexed="8"/>
        <rFont val="Times New Roman"/>
        <family val="1"/>
      </rPr>
      <t>bmin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</si>
  <si>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p</t>
    </r>
    <r>
      <rPr>
        <i/>
        <vertAlign val="subscript"/>
        <sz val="11"/>
        <color indexed="8"/>
        <rFont val="Times New Roman"/>
        <family val="1"/>
      </rPr>
      <t>b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</si>
  <si>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M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[Nm]</t>
    </r>
  </si>
  <si>
    <r>
      <t>d</t>
    </r>
    <r>
      <rPr>
        <vertAlign val="subscript"/>
        <sz val="12"/>
        <color indexed="8"/>
        <rFont val="Times New Roman"/>
        <family val="1"/>
      </rPr>
      <t>2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</si>
  <si>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</si>
  <si>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l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m ]</t>
    </r>
  </si>
  <si>
    <r>
      <t>F</t>
    </r>
    <r>
      <rPr>
        <i/>
        <vertAlign val="subscript"/>
        <sz val="12"/>
        <color indexed="8"/>
        <rFont val="Times New Roman"/>
        <family val="1"/>
      </rPr>
      <t>r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[N]</t>
    </r>
  </si>
  <si>
    <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</si>
  <si>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1"/>
        <color indexed="8"/>
        <rFont val="Times New Roman"/>
        <family val="1"/>
      </rPr>
      <t>smin</t>
    </r>
    <r>
      <rPr>
        <sz val="10"/>
        <color indexed="8"/>
        <rFont val="Arial"/>
        <family val="2"/>
      </rPr>
      <t>[mm]</t>
    </r>
  </si>
  <si>
    <r>
      <t>d</t>
    </r>
    <r>
      <rPr>
        <i/>
        <vertAlign val="subscript"/>
        <sz val="11"/>
        <color indexed="8"/>
        <rFont val="Times New Roman"/>
        <family val="1"/>
      </rPr>
      <t>tmin</t>
    </r>
    <r>
      <rPr>
        <sz val="10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</si>
  <si>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</si>
  <si>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d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</si>
  <si>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F</t>
    </r>
    <r>
      <rPr>
        <i/>
        <vertAlign val="subscript"/>
        <sz val="12"/>
        <color indexed="8"/>
        <rFont val="Times New Roman"/>
        <family val="1"/>
      </rPr>
      <t>SP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</si>
  <si>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S,S</t>
    </r>
    <r>
      <rPr>
        <i/>
        <vertAlign val="subscript"/>
        <sz val="12"/>
        <color indexed="8"/>
        <rFont val="Times New Roman"/>
        <family val="1"/>
      </rPr>
      <t>i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- ]</t>
    </r>
  </si>
  <si>
    <r>
      <t>d'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</si>
  <si>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W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]</t>
    </r>
  </si>
  <si>
    <r>
      <t>h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</si>
  <si>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h</t>
    </r>
    <r>
      <rPr>
        <i/>
        <vertAlign val="subscript"/>
        <sz val="11"/>
        <color indexed="8"/>
        <rFont val="Times New Roman"/>
        <family val="1"/>
      </rPr>
      <t>e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</si>
  <si>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t>Unutrašnji prečnik omotača</t>
  </si>
  <si>
    <t>OMOTAČ</t>
  </si>
  <si>
    <r>
      <t>d</t>
    </r>
    <r>
      <rPr>
        <i/>
        <vertAlign val="subscript"/>
        <sz val="11"/>
        <rFont val="Arial"/>
        <family val="2"/>
      </rPr>
      <t>s</t>
    </r>
    <r>
      <rPr>
        <sz val="11"/>
        <rFont val="Arial"/>
        <family val="2"/>
      </rPr>
      <t>/</t>
    </r>
    <r>
      <rPr>
        <i/>
        <sz val="11"/>
        <rFont val="Arial"/>
        <family val="2"/>
      </rPr>
      <t>d</t>
    </r>
    <r>
      <rPr>
        <i/>
        <vertAlign val="subscript"/>
        <sz val="11"/>
        <rFont val="Arial"/>
        <family val="2"/>
      </rPr>
      <t>u</t>
    </r>
    <r>
      <rPr>
        <sz val="11"/>
        <rFont val="Arial"/>
        <family val="2"/>
      </rPr>
      <t xml:space="preserve"> [mm]</t>
    </r>
  </si>
  <si>
    <t>Spoljni prečnik razmenjivača toplote</t>
  </si>
  <si>
    <t>ZADATI PRORAČUNSKI PODACI</t>
  </si>
  <si>
    <t>Unutrašnji prečnik otvora na dancu</t>
  </si>
  <si>
    <t>Stepen ispupčenja danca</t>
  </si>
  <si>
    <t>Proračunska temperatura</t>
  </si>
  <si>
    <t>Proračunski pritisak</t>
  </si>
  <si>
    <t>Proračunska čvrstoća</t>
  </si>
  <si>
    <t>Č 1204</t>
  </si>
  <si>
    <t>Č 1205</t>
  </si>
  <si>
    <t>Č 1206</t>
  </si>
  <si>
    <t>TORISFERIČNO</t>
  </si>
  <si>
    <t>Modul elastičnosti</t>
  </si>
  <si>
    <t>Izračunata debljina</t>
  </si>
  <si>
    <t>Proračunski koeficijent</t>
  </si>
  <si>
    <t>Proračunski prečnik</t>
  </si>
  <si>
    <t>Č 0361</t>
  </si>
  <si>
    <t>Č 0561</t>
  </si>
  <si>
    <t>Materijal omotača</t>
  </si>
  <si>
    <t>OMOTAČ NIŽEG PRITISKA</t>
  </si>
  <si>
    <t>PRORAČUN OMOTAČA  SRPS M.E2.253</t>
  </si>
  <si>
    <t>OMOTAČ VIŠEG PRITISKA</t>
  </si>
  <si>
    <t>C.    CEVNA  PLOČA SRPS SRPS.E2.259</t>
  </si>
  <si>
    <r>
      <t>t</t>
    </r>
    <r>
      <rPr>
        <i/>
        <vertAlign val="subscript"/>
        <sz val="12"/>
        <rFont val="Arial"/>
        <family val="2"/>
      </rPr>
      <t>pr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</si>
  <si>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p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2"/>
      </rPr>
      <t xml:space="preserve"> [bar]</t>
    </r>
  </si>
  <si>
    <r>
      <t>S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[-]</t>
    </r>
  </si>
  <si>
    <r>
      <t>c</t>
    </r>
    <r>
      <rPr>
        <vertAlign val="sub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[mm]</t>
    </r>
  </si>
  <si>
    <r>
      <t>c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[mm]</t>
    </r>
  </si>
  <si>
    <r>
      <t>s</t>
    </r>
    <r>
      <rPr>
        <sz val="11"/>
        <color indexed="8"/>
        <rFont val="Arial"/>
        <family val="2"/>
      </rPr>
      <t xml:space="preserve"> [mm]</t>
    </r>
  </si>
  <si>
    <r>
      <t>s</t>
    </r>
    <r>
      <rPr>
        <i/>
        <vertAlign val="sub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[mm]</t>
    </r>
  </si>
  <si>
    <t>PRORAČUN VIJČANOG SPOJA SRPS M.E2.257</t>
  </si>
  <si>
    <t>PRORAČUN DANCA  SRPS M.E2.252, M.E2.253 i SRPS M.E2.259</t>
  </si>
  <si>
    <t>Na strani višeg pritiska</t>
  </si>
  <si>
    <t>Na strani nižeg pritiska</t>
  </si>
  <si>
    <t>Oterećenje vijčanog spoja</t>
  </si>
  <si>
    <t>Maksimalni pritisak, širina i debljina</t>
  </si>
  <si>
    <t>Zaptivač - bezazbestni KLINGERIT</t>
  </si>
  <si>
    <t>Srednji prečnik zaptivača</t>
  </si>
  <si>
    <t>Koef. zaptivača pri radu</t>
  </si>
  <si>
    <t>Koef. preoblik. zaptivača</t>
  </si>
  <si>
    <t>Broj vijaka vijčanog spoja</t>
  </si>
  <si>
    <t>Pomoćna vrednost</t>
  </si>
  <si>
    <t>Sila pritiska omotača</t>
  </si>
  <si>
    <t>Sila pritiska zaptivača</t>
  </si>
  <si>
    <t>Ukupna sila vijčanog spoja</t>
  </si>
  <si>
    <t>Prečnik jezgra vijka bez dod.</t>
  </si>
  <si>
    <t xml:space="preserve">Prečnik jezgra vijka </t>
  </si>
  <si>
    <r>
      <t xml:space="preserve">Krug vijka  </t>
    </r>
    <r>
      <rPr>
        <i/>
        <sz val="12"/>
        <rFont val="Arial"/>
        <family val="2"/>
      </rPr>
      <t>e</t>
    </r>
    <r>
      <rPr>
        <sz val="11"/>
        <rFont val="Arial"/>
        <family val="2"/>
      </rPr>
      <t xml:space="preserve"> [mm]</t>
    </r>
  </si>
  <si>
    <t>Ručna sila pritezanja</t>
  </si>
  <si>
    <t>ZAJEDNIČKI PODACI</t>
  </si>
  <si>
    <t>PRORAČUN PRIRUBNIČKOG SPOJA  GLAVE CEVNE PLOČE I OMOTAČA REGISTRA,  SRPS M.E2.258</t>
  </si>
  <si>
    <r>
      <t xml:space="preserve">Vrednosti </t>
    </r>
    <r>
      <rPr>
        <i/>
        <sz val="12"/>
        <rFont val="Arial"/>
        <family val="2"/>
      </rPr>
      <t>Z</t>
    </r>
    <r>
      <rPr>
        <sz val="11"/>
        <rFont val="Arial"/>
        <family val="2"/>
      </rPr>
      <t xml:space="preserve"> i </t>
    </r>
    <r>
      <rPr>
        <i/>
        <sz val="12"/>
        <rFont val="Arial"/>
        <family val="2"/>
      </rPr>
      <t>b</t>
    </r>
    <r>
      <rPr>
        <i/>
        <vertAlign val="subscript"/>
        <sz val="12"/>
        <rFont val="Arial"/>
        <family val="2"/>
      </rPr>
      <t>k</t>
    </r>
  </si>
  <si>
    <t>Redukovani prečnik otvora</t>
  </si>
  <si>
    <r>
      <t>s</t>
    </r>
    <r>
      <rPr>
        <sz val="11"/>
        <color indexed="8"/>
        <rFont val="Times New Roman"/>
        <family val="1"/>
      </rPr>
      <t xml:space="preserve"> [mm]</t>
    </r>
  </si>
  <si>
    <r>
      <t>v</t>
    </r>
    <r>
      <rPr>
        <sz val="11"/>
        <color indexed="8"/>
        <rFont val="Times New Roman"/>
        <family val="1"/>
      </rPr>
      <t xml:space="preserve"> [ - ]</t>
    </r>
  </si>
  <si>
    <r>
      <t>b</t>
    </r>
    <r>
      <rPr>
        <i/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[mm]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</si>
</sst>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YU L Swiss"/>
      <family val="2"/>
    </font>
    <font>
      <sz val="11"/>
      <name val="YU L Swiss"/>
      <family val="2"/>
    </font>
    <font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2"/>
      <color indexed="8"/>
      <name val="YU L Swiss"/>
      <family val="2"/>
    </font>
    <font>
      <b/>
      <sz val="11"/>
      <color indexed="12"/>
      <name val="Arial"/>
      <family val="2"/>
    </font>
    <font>
      <b/>
      <sz val="11"/>
      <color indexed="12"/>
      <name val="YU L Swiss"/>
      <family val="2"/>
    </font>
    <font>
      <sz val="11"/>
      <color indexed="16"/>
      <name val="YU L Swiss"/>
      <family val="2"/>
    </font>
    <font>
      <sz val="10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color indexed="14"/>
      <name val="YU L Swiss"/>
      <family val="2"/>
    </font>
    <font>
      <sz val="10"/>
      <color indexed="8"/>
      <name val="YU L Swiss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b/>
      <sz val="10"/>
      <color indexed="12"/>
      <name val="YU L Swiss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YU L Swiss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YU L Swiss"/>
      <family val="2"/>
    </font>
    <font>
      <b/>
      <sz val="11"/>
      <color indexed="14"/>
      <name val="Arial"/>
      <family val="2"/>
    </font>
    <font>
      <b/>
      <sz val="11"/>
      <color indexed="16"/>
      <name val="Arial"/>
      <family val="2"/>
    </font>
    <font>
      <b/>
      <vertAlign val="superscript"/>
      <sz val="11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vertAlign val="subscript"/>
      <sz val="11"/>
      <color indexed="8"/>
      <name val="Arial"/>
      <family val="2"/>
    </font>
    <font>
      <sz val="8"/>
      <color indexed="8"/>
      <name val="YU L Swiss"/>
      <family val="2"/>
    </font>
    <font>
      <b/>
      <sz val="11"/>
      <color indexed="8"/>
      <name val="YU L Swiss"/>
      <family val="2"/>
    </font>
    <font>
      <sz val="11"/>
      <color indexed="8"/>
      <name val="Symbol"/>
      <family val="1"/>
    </font>
    <font>
      <b/>
      <sz val="11"/>
      <color indexed="21"/>
      <name val="YU L Swiss"/>
      <family val="2"/>
    </font>
    <font>
      <b/>
      <sz val="11"/>
      <color indexed="33"/>
      <name val="YU L Swiss"/>
      <family val="2"/>
    </font>
    <font>
      <sz val="11"/>
      <color indexed="14"/>
      <name val="Arial"/>
      <family val="0"/>
    </font>
    <font>
      <sz val="11"/>
      <color indexed="39"/>
      <name val="YU L Swiss"/>
      <family val="2"/>
    </font>
    <font>
      <b/>
      <sz val="11"/>
      <color indexed="14"/>
      <name val="YU L Swiss"/>
      <family val="2"/>
    </font>
    <font>
      <b/>
      <sz val="11"/>
      <color indexed="39"/>
      <name val="Arial"/>
      <family val="2"/>
    </font>
    <font>
      <b/>
      <sz val="10"/>
      <color indexed="21"/>
      <name val="YU L Swiss"/>
      <family val="2"/>
    </font>
    <font>
      <vertAlign val="superscript"/>
      <sz val="10"/>
      <name val="YU L Swiss"/>
      <family val="2"/>
    </font>
    <font>
      <b/>
      <sz val="11"/>
      <name val="YU L Swiss"/>
      <family val="2"/>
    </font>
    <font>
      <sz val="9"/>
      <name val="YUSwissB"/>
      <family val="0"/>
    </font>
    <font>
      <sz val="8"/>
      <color indexed="21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i/>
      <sz val="12"/>
      <color indexed="8"/>
      <name val="Symbol"/>
      <family val="1"/>
    </font>
    <font>
      <sz val="11"/>
      <color indexed="8"/>
      <name val="Times New Roman"/>
      <family val="1"/>
    </font>
    <font>
      <i/>
      <vertAlign val="subscript"/>
      <sz val="11"/>
      <name val="Arial"/>
      <family val="2"/>
    </font>
    <font>
      <vertAlign val="subscript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sz val="18"/>
      <color indexed="21"/>
      <name val="Arial"/>
      <family val="2"/>
    </font>
    <font>
      <sz val="11"/>
      <color indexed="33"/>
      <name val="Arial"/>
      <family val="2"/>
    </font>
    <font>
      <b/>
      <sz val="18"/>
      <color indexed="21"/>
      <name val="Arial"/>
      <family val="2"/>
    </font>
    <font>
      <b/>
      <sz val="11"/>
      <color indexed="33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185" fontId="4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7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0" fontId="41" fillId="4" borderId="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7" fillId="4" borderId="3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34" fillId="3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32" fillId="4" borderId="2" xfId="0" applyFont="1" applyFill="1" applyBorder="1" applyAlignment="1" applyProtection="1">
      <alignment horizontal="center" vertical="center"/>
      <protection hidden="1"/>
    </xf>
    <xf numFmtId="0" fontId="47" fillId="2" borderId="7" xfId="0" applyFont="1" applyFill="1" applyBorder="1" applyAlignment="1" applyProtection="1">
      <alignment horizontal="center" vertical="center"/>
      <protection locked="0"/>
    </xf>
    <xf numFmtId="0" fontId="47" fillId="2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4" borderId="7" xfId="0" applyFont="1" applyFill="1" applyBorder="1" applyAlignment="1" applyProtection="1">
      <alignment horizontal="left" vertical="center"/>
      <protection hidden="1"/>
    </xf>
    <xf numFmtId="0" fontId="43" fillId="4" borderId="8" xfId="0" applyFont="1" applyFill="1" applyBorder="1" applyAlignment="1" applyProtection="1">
      <alignment vertical="center"/>
      <protection hidden="1"/>
    </xf>
    <xf numFmtId="0" fontId="42" fillId="4" borderId="3" xfId="0" applyFont="1" applyFill="1" applyBorder="1" applyAlignment="1" applyProtection="1">
      <alignment horizontal="center" vertical="center"/>
      <protection hidden="1"/>
    </xf>
    <xf numFmtId="0" fontId="32" fillId="4" borderId="3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5" fillId="4" borderId="3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4" borderId="4" xfId="0" applyFont="1" applyFill="1" applyBorder="1" applyAlignment="1" applyProtection="1">
      <alignment horizontal="right" vertical="center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0" fontId="40" fillId="3" borderId="2" xfId="0" applyFont="1" applyFill="1" applyBorder="1" applyAlignment="1" applyProtection="1">
      <alignment horizontal="center" vertical="center"/>
      <protection hidden="1"/>
    </xf>
    <xf numFmtId="0" fontId="23" fillId="3" borderId="3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3" borderId="9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40" fillId="3" borderId="3" xfId="0" applyFont="1" applyFill="1" applyBorder="1" applyAlignment="1" applyProtection="1">
      <alignment horizontal="center" vertical="center"/>
      <protection hidden="1"/>
    </xf>
    <xf numFmtId="0" fontId="32" fillId="4" borderId="5" xfId="0" applyFont="1" applyFill="1" applyBorder="1" applyAlignment="1" applyProtection="1">
      <alignment horizontal="center" vertical="center"/>
      <protection hidden="1"/>
    </xf>
    <xf numFmtId="0" fontId="27" fillId="3" borderId="3" xfId="0" applyFont="1" applyFill="1" applyBorder="1" applyAlignment="1" applyProtection="1">
      <alignment horizontal="center" vertical="center"/>
      <protection hidden="1"/>
    </xf>
    <xf numFmtId="0" fontId="41" fillId="4" borderId="3" xfId="0" applyFont="1" applyFill="1" applyBorder="1" applyAlignment="1" applyProtection="1">
      <alignment horizontal="center"/>
      <protection hidden="1"/>
    </xf>
    <xf numFmtId="0" fontId="27" fillId="3" borderId="2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46" fillId="4" borderId="7" xfId="0" applyFont="1" applyFill="1" applyBorder="1" applyAlignment="1" applyProtection="1">
      <alignment vertical="center"/>
      <protection hidden="1"/>
    </xf>
    <xf numFmtId="0" fontId="46" fillId="4" borderId="3" xfId="0" applyFont="1" applyFill="1" applyBorder="1" applyAlignment="1" applyProtection="1">
      <alignment horizontal="center" vertical="center"/>
      <protection hidden="1"/>
    </xf>
    <xf numFmtId="0" fontId="46" fillId="4" borderId="6" xfId="0" applyFont="1" applyFill="1" applyBorder="1" applyAlignment="1" applyProtection="1">
      <alignment horizontal="center" vertical="center"/>
      <protection hidden="1"/>
    </xf>
    <xf numFmtId="0" fontId="46" fillId="4" borderId="2" xfId="0" applyFont="1" applyFill="1" applyBorder="1" applyAlignment="1" applyProtection="1">
      <alignment horizontal="center" vertical="center"/>
      <protection hidden="1"/>
    </xf>
    <xf numFmtId="0" fontId="23" fillId="3" borderId="6" xfId="0" applyFont="1" applyFill="1" applyBorder="1" applyAlignment="1" applyProtection="1">
      <alignment horizontal="center" vertical="center"/>
      <protection hidden="1"/>
    </xf>
    <xf numFmtId="0" fontId="23" fillId="3" borderId="8" xfId="0" applyFont="1" applyFill="1" applyBorder="1" applyAlignment="1" applyProtection="1">
      <alignment horizontal="center" vertical="center"/>
      <protection hidden="1"/>
    </xf>
    <xf numFmtId="0" fontId="40" fillId="3" borderId="5" xfId="0" applyFont="1" applyFill="1" applyBorder="1" applyAlignment="1" applyProtection="1">
      <alignment horizontal="center" vertical="center"/>
      <protection hidden="1"/>
    </xf>
    <xf numFmtId="0" fontId="23" fillId="0" borderId="3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right"/>
      <protection hidden="1"/>
    </xf>
    <xf numFmtId="0" fontId="54" fillId="4" borderId="3" xfId="0" applyFont="1" applyFill="1" applyBorder="1" applyAlignment="1" applyProtection="1">
      <alignment horizontal="right"/>
      <protection hidden="1"/>
    </xf>
    <xf numFmtId="0" fontId="59" fillId="4" borderId="2" xfId="0" applyFont="1" applyFill="1" applyBorder="1" applyAlignment="1" applyProtection="1">
      <alignment horizontal="right"/>
      <protection hidden="1"/>
    </xf>
    <xf numFmtId="0" fontId="54" fillId="4" borderId="2" xfId="0" applyFont="1" applyFill="1" applyBorder="1" applyAlignment="1" applyProtection="1">
      <alignment horizontal="right"/>
      <protection hidden="1"/>
    </xf>
    <xf numFmtId="0" fontId="65" fillId="4" borderId="2" xfId="0" applyFont="1" applyFill="1" applyBorder="1" applyAlignment="1" applyProtection="1">
      <alignment horizontal="right" vertical="center"/>
      <protection hidden="1"/>
    </xf>
    <xf numFmtId="0" fontId="59" fillId="4" borderId="8" xfId="0" applyFont="1" applyFill="1" applyBorder="1" applyAlignment="1" applyProtection="1">
      <alignment horizontal="right"/>
      <protection hidden="1"/>
    </xf>
    <xf numFmtId="0" fontId="54" fillId="4" borderId="2" xfId="0" applyFont="1" applyFill="1" applyBorder="1" applyAlignment="1" applyProtection="1">
      <alignment horizontal="center"/>
      <protection hidden="1"/>
    </xf>
    <xf numFmtId="0" fontId="61" fillId="4" borderId="2" xfId="0" applyFont="1" applyFill="1" applyBorder="1" applyAlignment="1" applyProtection="1">
      <alignment horizontal="center" vertical="center"/>
      <protection hidden="1"/>
    </xf>
    <xf numFmtId="0" fontId="61" fillId="4" borderId="2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4" fillId="4" borderId="2" xfId="0" applyFont="1" applyFill="1" applyBorder="1" applyAlignment="1" applyProtection="1">
      <alignment horizontal="right" vertical="center"/>
      <protection hidden="1"/>
    </xf>
    <xf numFmtId="0" fontId="61" fillId="4" borderId="2" xfId="0" applyFont="1" applyFill="1" applyBorder="1" applyAlignment="1" applyProtection="1">
      <alignment horizontal="right"/>
      <protection hidden="1"/>
    </xf>
    <xf numFmtId="0" fontId="61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4" fillId="4" borderId="2" xfId="0" applyFont="1" applyFill="1" applyBorder="1" applyAlignment="1" applyProtection="1">
      <alignment horizontal="center" vertical="center"/>
      <protection hidden="1"/>
    </xf>
    <xf numFmtId="0" fontId="65" fillId="4" borderId="2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4" fillId="4" borderId="3" xfId="0" applyFont="1" applyFill="1" applyBorder="1" applyAlignment="1" applyProtection="1">
      <alignment horizontal="center"/>
      <protection hidden="1"/>
    </xf>
    <xf numFmtId="0" fontId="54" fillId="4" borderId="1" xfId="0" applyFont="1" applyFill="1" applyBorder="1" applyAlignment="1" applyProtection="1">
      <alignment horizontal="center"/>
      <protection hidden="1"/>
    </xf>
    <xf numFmtId="0" fontId="69" fillId="4" borderId="2" xfId="0" applyFont="1" applyFill="1" applyBorder="1" applyAlignment="1" applyProtection="1">
      <alignment horizontal="center" vertical="center"/>
      <protection hidden="1"/>
    </xf>
    <xf numFmtId="0" fontId="69" fillId="4" borderId="2" xfId="0" applyFont="1" applyFill="1" applyBorder="1" applyAlignment="1" applyProtection="1">
      <alignment horizontal="right"/>
      <protection hidden="1"/>
    </xf>
    <xf numFmtId="0" fontId="61" fillId="4" borderId="7" xfId="0" applyFont="1" applyFill="1" applyBorder="1" applyAlignment="1" applyProtection="1">
      <alignment horizontal="right"/>
      <protection hidden="1"/>
    </xf>
    <xf numFmtId="0" fontId="66" fillId="4" borderId="2" xfId="0" applyFont="1" applyFill="1" applyBorder="1" applyAlignment="1" applyProtection="1">
      <alignment horizontal="right"/>
      <protection hidden="1"/>
    </xf>
    <xf numFmtId="0" fontId="61" fillId="4" borderId="3" xfId="0" applyFont="1" applyFill="1" applyBorder="1" applyAlignment="1" applyProtection="1">
      <alignment horizontal="right"/>
      <protection hidden="1"/>
    </xf>
    <xf numFmtId="0" fontId="24" fillId="4" borderId="3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32" fillId="4" borderId="2" xfId="0" applyFont="1" applyFill="1" applyBorder="1" applyAlignment="1" applyProtection="1">
      <alignment horizontal="center"/>
      <protection hidden="1"/>
    </xf>
    <xf numFmtId="0" fontId="69" fillId="4" borderId="2" xfId="0" applyFont="1" applyFill="1" applyBorder="1" applyAlignment="1" applyProtection="1">
      <alignment horizontal="center"/>
      <protection hidden="1"/>
    </xf>
    <xf numFmtId="0" fontId="61" fillId="4" borderId="2" xfId="0" applyFont="1" applyFill="1" applyBorder="1" applyAlignment="1" applyProtection="1">
      <alignment horizontal="center"/>
      <protection hidden="1"/>
    </xf>
    <xf numFmtId="0" fontId="61" fillId="4" borderId="3" xfId="0" applyFont="1" applyFill="1" applyBorder="1" applyAlignment="1" applyProtection="1">
      <alignment horizontal="center" vertical="center"/>
      <protection hidden="1"/>
    </xf>
    <xf numFmtId="0" fontId="61" fillId="4" borderId="3" xfId="0" applyFont="1" applyFill="1" applyBorder="1" applyAlignment="1" applyProtection="1">
      <alignment horizontal="center"/>
      <protection hidden="1"/>
    </xf>
    <xf numFmtId="0" fontId="27" fillId="4" borderId="11" xfId="0" applyFont="1" applyFill="1" applyBorder="1" applyAlignment="1" applyProtection="1">
      <alignment horizontal="left" vertical="center"/>
      <protection hidden="1"/>
    </xf>
    <xf numFmtId="0" fontId="27" fillId="4" borderId="7" xfId="0" applyFont="1" applyFill="1" applyBorder="1" applyAlignment="1" applyProtection="1">
      <alignment horizontal="left" vertical="center"/>
      <protection hidden="1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/>
      <protection hidden="1"/>
    </xf>
    <xf numFmtId="0" fontId="27" fillId="4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75" fillId="4" borderId="8" xfId="0" applyFont="1" applyFill="1" applyBorder="1" applyAlignment="1" applyProtection="1">
      <alignment vertical="center"/>
      <protection hidden="1"/>
    </xf>
    <xf numFmtId="0" fontId="73" fillId="4" borderId="8" xfId="0" applyFont="1" applyFill="1" applyBorder="1" applyAlignment="1" applyProtection="1">
      <alignment vertical="center"/>
      <protection hidden="1"/>
    </xf>
    <xf numFmtId="0" fontId="6" fillId="4" borderId="7" xfId="0" applyFont="1" applyFill="1" applyBorder="1" applyAlignment="1" applyProtection="1">
      <alignment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horizontal="left" vertical="center"/>
      <protection hidden="1"/>
    </xf>
    <xf numFmtId="0" fontId="76" fillId="4" borderId="3" xfId="0" applyFont="1" applyFill="1" applyBorder="1" applyAlignment="1" applyProtection="1">
      <alignment horizontal="right"/>
      <protection hidden="1"/>
    </xf>
    <xf numFmtId="0" fontId="75" fillId="4" borderId="12" xfId="0" applyFont="1" applyFill="1" applyBorder="1" applyAlignment="1" applyProtection="1">
      <alignment vertical="center"/>
      <protection hidden="1"/>
    </xf>
    <xf numFmtId="0" fontId="73" fillId="4" borderId="12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6" fillId="4" borderId="4" xfId="0" applyFont="1" applyFill="1" applyBorder="1" applyAlignment="1" applyProtection="1">
      <alignment horizontal="left" vertical="center"/>
      <protection hidden="1"/>
    </xf>
    <xf numFmtId="0" fontId="6" fillId="4" borderId="13" xfId="0" applyFont="1" applyFill="1" applyBorder="1" applyAlignment="1" applyProtection="1">
      <alignment horizontal="left" vertical="center"/>
      <protection hidden="1"/>
    </xf>
    <xf numFmtId="0" fontId="75" fillId="4" borderId="0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0" fontId="75" fillId="4" borderId="14" xfId="0" applyFont="1" applyFill="1" applyBorder="1" applyAlignment="1" applyProtection="1">
      <alignment vertical="center"/>
      <protection hidden="1"/>
    </xf>
    <xf numFmtId="0" fontId="6" fillId="4" borderId="14" xfId="0" applyFont="1" applyFill="1" applyBorder="1" applyAlignment="1" applyProtection="1">
      <alignment horizontal="left"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33" fillId="4" borderId="8" xfId="0" applyFont="1" applyFill="1" applyBorder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3" fillId="4" borderId="2" xfId="0" applyFont="1" applyFill="1" applyBorder="1" applyAlignment="1" applyProtection="1">
      <alignment horizontal="right"/>
      <protection hidden="1"/>
    </xf>
    <xf numFmtId="0" fontId="57" fillId="4" borderId="2" xfId="0" applyFont="1" applyFill="1" applyBorder="1" applyAlignment="1" applyProtection="1">
      <alignment horizontal="right"/>
      <protection hidden="1"/>
    </xf>
    <xf numFmtId="0" fontId="70" fillId="4" borderId="2" xfId="0" applyFont="1" applyFill="1" applyBorder="1" applyAlignment="1" applyProtection="1">
      <alignment horizontal="center" vertical="center"/>
      <protection hidden="1"/>
    </xf>
    <xf numFmtId="0" fontId="57" fillId="4" borderId="2" xfId="0" applyFont="1" applyFill="1" applyBorder="1" applyAlignment="1" applyProtection="1">
      <alignment horizontal="right" vertical="center"/>
      <protection hidden="1"/>
    </xf>
    <xf numFmtId="0" fontId="70" fillId="4" borderId="2" xfId="0" applyFont="1" applyFill="1" applyBorder="1" applyAlignment="1" applyProtection="1">
      <alignment horizontal="right"/>
      <protection hidden="1"/>
    </xf>
    <xf numFmtId="0" fontId="30" fillId="4" borderId="7" xfId="0" applyFont="1" applyFill="1" applyBorder="1" applyAlignment="1" applyProtection="1">
      <alignment horizontal="left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33" fillId="4" borderId="7" xfId="0" applyFont="1" applyFill="1" applyBorder="1" applyAlignment="1" applyProtection="1">
      <alignment vertical="center"/>
      <protection hidden="1"/>
    </xf>
    <xf numFmtId="0" fontId="33" fillId="4" borderId="3" xfId="0" applyFont="1" applyFill="1" applyBorder="1" applyAlignment="1" applyProtection="1">
      <alignment horizontal="center" vertical="center"/>
      <protection hidden="1"/>
    </xf>
    <xf numFmtId="0" fontId="33" fillId="4" borderId="6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3" fillId="4" borderId="2" xfId="0" applyFont="1" applyFill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28875" y="0"/>
          <a:ext cx="722947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Line 15"/>
        <xdr:cNvSpPr>
          <a:spLocks/>
        </xdr:cNvSpPr>
      </xdr:nvSpPr>
      <xdr:spPr>
        <a:xfrm>
          <a:off x="6000750" y="1619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Line 16"/>
        <xdr:cNvSpPr>
          <a:spLocks/>
        </xdr:cNvSpPr>
      </xdr:nvSpPr>
      <xdr:spPr>
        <a:xfrm>
          <a:off x="6000750" y="8096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</xdr:row>
      <xdr:rowOff>0</xdr:rowOff>
    </xdr:from>
    <xdr:to>
      <xdr:col>12</xdr:col>
      <xdr:colOff>409575</xdr:colOff>
      <xdr:row>4</xdr:row>
      <xdr:rowOff>104775</xdr:rowOff>
    </xdr:to>
    <xdr:sp>
      <xdr:nvSpPr>
        <xdr:cNvPr id="4" name="TextBox 293"/>
        <xdr:cNvSpPr txBox="1">
          <a:spLocks noChangeArrowheads="1"/>
        </xdr:cNvSpPr>
      </xdr:nvSpPr>
      <xdr:spPr>
        <a:xfrm>
          <a:off x="2876550" y="161925"/>
          <a:ext cx="4733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PRORAČUN ČVRSTOĆE</a:t>
          </a: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delova razmenjivača toplote pod pritiskom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6" name="TextBox 371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showGridLines="0" tabSelected="1" workbookViewId="0" topLeftCell="A1">
      <selection activeCell="K21" sqref="K21"/>
    </sheetView>
  </sheetViews>
  <sheetFormatPr defaultColWidth="9.140625" defaultRowHeight="12.75"/>
  <cols>
    <col min="1" max="12" width="9.00390625" style="9" customWidth="1"/>
    <col min="13" max="18" width="9.00390625" style="13" customWidth="1"/>
    <col min="19" max="16384" width="9.140625" style="13" customWidth="1"/>
  </cols>
  <sheetData>
    <row r="1" s="1" customFormat="1" ht="12.75" customHeight="1">
      <c r="M1" s="102" t="e">
        <f>#REF!</f>
        <v>#REF!</v>
      </c>
    </row>
    <row r="2" s="1" customFormat="1" ht="12.75" customHeight="1">
      <c r="M2" s="12"/>
    </row>
    <row r="3" s="1" customFormat="1" ht="12.75" customHeight="1">
      <c r="M3" s="12"/>
    </row>
    <row r="4" s="1" customFormat="1" ht="12.75" customHeight="1">
      <c r="M4" s="12"/>
    </row>
    <row r="5" s="1" customFormat="1" ht="12.75" customHeight="1"/>
    <row r="6" s="3" customFormat="1" ht="15.75" customHeight="1"/>
    <row r="7" spans="1:18" s="10" customFormat="1" ht="15.75" customHeight="1">
      <c r="A7" s="140"/>
      <c r="B7" s="51"/>
      <c r="C7" s="138" t="s">
        <v>2</v>
      </c>
      <c r="D7" s="141" t="s">
        <v>152</v>
      </c>
      <c r="E7" s="141"/>
      <c r="F7" s="141"/>
      <c r="G7" s="141"/>
      <c r="H7" s="141"/>
      <c r="I7" s="141"/>
      <c r="J7" s="141"/>
      <c r="K7" s="51"/>
      <c r="L7" s="142"/>
      <c r="M7" s="140"/>
      <c r="O7" s="14"/>
      <c r="P7" s="15"/>
      <c r="Q7" s="11"/>
      <c r="R7" s="11"/>
    </row>
    <row r="8" spans="1:16" s="10" customFormat="1" ht="15.75" customHeight="1">
      <c r="A8" s="143" t="s">
        <v>6</v>
      </c>
      <c r="B8" s="144"/>
      <c r="C8" s="145"/>
      <c r="D8" s="64"/>
      <c r="E8" s="107" t="s">
        <v>76</v>
      </c>
      <c r="F8" s="44">
        <v>150</v>
      </c>
      <c r="G8" s="61"/>
      <c r="H8" s="136" t="s">
        <v>151</v>
      </c>
      <c r="I8" s="144"/>
      <c r="J8" s="145"/>
      <c r="K8" s="66"/>
      <c r="L8" s="103" t="s">
        <v>82</v>
      </c>
      <c r="M8" s="7">
        <v>500</v>
      </c>
      <c r="N8" s="16"/>
      <c r="P8" s="17"/>
    </row>
    <row r="9" spans="1:13" s="10" customFormat="1" ht="15.75" customHeight="1">
      <c r="A9" s="143" t="s">
        <v>7</v>
      </c>
      <c r="B9" s="144"/>
      <c r="C9" s="145"/>
      <c r="D9" s="64"/>
      <c r="E9" s="107" t="s">
        <v>77</v>
      </c>
      <c r="F9" s="44">
        <v>100</v>
      </c>
      <c r="G9" s="67"/>
      <c r="H9" s="136" t="s">
        <v>153</v>
      </c>
      <c r="I9" s="144"/>
      <c r="J9" s="145"/>
      <c r="K9" s="66"/>
      <c r="L9" s="103" t="s">
        <v>83</v>
      </c>
      <c r="M9" s="7">
        <v>0</v>
      </c>
    </row>
    <row r="10" spans="1:18" s="10" customFormat="1" ht="15.75" customHeight="1">
      <c r="A10" s="146" t="s">
        <v>8</v>
      </c>
      <c r="B10" s="147"/>
      <c r="C10" s="148"/>
      <c r="D10" s="68"/>
      <c r="E10" s="105" t="s">
        <v>78</v>
      </c>
      <c r="F10" s="44">
        <v>25</v>
      </c>
      <c r="G10" s="60"/>
      <c r="H10" s="136" t="s">
        <v>31</v>
      </c>
      <c r="I10" s="144"/>
      <c r="J10" s="151" t="s">
        <v>150</v>
      </c>
      <c r="K10" s="7" t="s">
        <v>1</v>
      </c>
      <c r="L10" s="7">
        <v>18</v>
      </c>
      <c r="M10" s="7">
        <v>16</v>
      </c>
      <c r="N10" s="9"/>
      <c r="P10" s="9"/>
      <c r="Q10" s="9"/>
      <c r="R10" s="9"/>
    </row>
    <row r="11" spans="1:13" s="9" customFormat="1" ht="15.75" customHeight="1">
      <c r="A11" s="146" t="s">
        <v>9</v>
      </c>
      <c r="B11" s="147"/>
      <c r="C11" s="147"/>
      <c r="D11" s="68"/>
      <c r="E11" s="105" t="s">
        <v>79</v>
      </c>
      <c r="F11" s="44">
        <v>10</v>
      </c>
      <c r="G11" s="69"/>
      <c r="H11" s="135" t="s">
        <v>30</v>
      </c>
      <c r="I11" s="152"/>
      <c r="J11" s="153"/>
      <c r="K11" s="70"/>
      <c r="L11" s="103" t="s">
        <v>84</v>
      </c>
      <c r="M11" s="7">
        <v>19.5</v>
      </c>
    </row>
    <row r="12" spans="1:15" s="9" customFormat="1" ht="15.75" customHeight="1">
      <c r="A12" s="146" t="s">
        <v>10</v>
      </c>
      <c r="B12" s="147"/>
      <c r="C12" s="149"/>
      <c r="D12" s="4">
        <v>1.5</v>
      </c>
      <c r="E12" s="105" t="s">
        <v>80</v>
      </c>
      <c r="F12" s="48">
        <f>D12*F10</f>
        <v>37.5</v>
      </c>
      <c r="G12" s="61"/>
      <c r="H12" s="136" t="s">
        <v>75</v>
      </c>
      <c r="I12" s="144"/>
      <c r="J12" s="145"/>
      <c r="K12" s="66"/>
      <c r="L12" s="103" t="s">
        <v>85</v>
      </c>
      <c r="M12" s="7">
        <v>12</v>
      </c>
      <c r="N12" s="18"/>
      <c r="O12" s="18"/>
    </row>
    <row r="13" spans="1:13" s="9" customFormat="1" ht="18.75">
      <c r="A13" s="146" t="s">
        <v>11</v>
      </c>
      <c r="B13" s="147"/>
      <c r="C13" s="150"/>
      <c r="D13" s="7">
        <v>1.5</v>
      </c>
      <c r="E13" s="105" t="s">
        <v>81</v>
      </c>
      <c r="F13" s="48">
        <f>D13*F11</f>
        <v>15</v>
      </c>
      <c r="G13" s="69"/>
      <c r="H13" s="69"/>
      <c r="I13" s="69"/>
      <c r="J13" s="69"/>
      <c r="K13" s="69"/>
      <c r="L13" s="69"/>
      <c r="M13" s="69"/>
    </row>
    <row r="14" spans="1:13" s="9" customFormat="1" ht="15">
      <c r="A14" s="146" t="s">
        <v>12</v>
      </c>
      <c r="B14" s="147"/>
      <c r="C14" s="147"/>
      <c r="D14" s="68"/>
      <c r="E14" s="137" t="s">
        <v>13</v>
      </c>
      <c r="F14" s="71"/>
      <c r="G14" s="69"/>
      <c r="H14" s="69"/>
      <c r="I14" s="69"/>
      <c r="J14" s="69"/>
      <c r="K14" s="69"/>
      <c r="L14" s="69"/>
      <c r="M14" s="69"/>
    </row>
    <row r="15" spans="1:22" s="9" customFormat="1" ht="14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20"/>
      <c r="O15" s="20"/>
      <c r="P15" s="20"/>
      <c r="Q15" s="20"/>
      <c r="R15" s="20"/>
      <c r="S15" s="20"/>
      <c r="T15" s="20"/>
      <c r="U15" s="20"/>
      <c r="V15" s="20"/>
    </row>
    <row r="16" spans="1:23" s="9" customFormat="1" ht="15">
      <c r="A16" s="69"/>
      <c r="B16" s="72"/>
      <c r="C16" s="69"/>
      <c r="D16" s="154" t="s">
        <v>2</v>
      </c>
      <c r="E16" s="155" t="s">
        <v>181</v>
      </c>
      <c r="F16" s="156"/>
      <c r="G16" s="156"/>
      <c r="H16" s="155"/>
      <c r="I16" s="155"/>
      <c r="J16" s="157"/>
      <c r="K16" s="155"/>
      <c r="L16" s="73"/>
      <c r="M16" s="69"/>
      <c r="N16" s="22"/>
      <c r="O16" s="23"/>
      <c r="P16" s="20"/>
      <c r="Q16" s="20"/>
      <c r="R16" s="23"/>
      <c r="S16" s="23"/>
      <c r="T16" s="23"/>
      <c r="U16" s="23"/>
      <c r="V16" s="23"/>
      <c r="W16" s="19"/>
    </row>
    <row r="17" spans="1:23" s="9" customFormat="1" ht="15">
      <c r="A17" s="158" t="s">
        <v>23</v>
      </c>
      <c r="B17" s="159"/>
      <c r="C17" s="160"/>
      <c r="D17" s="56" t="s">
        <v>25</v>
      </c>
      <c r="E17" s="172" t="s">
        <v>161</v>
      </c>
      <c r="F17" s="94"/>
      <c r="G17" s="96" t="s">
        <v>24</v>
      </c>
      <c r="H17" s="69"/>
      <c r="I17" s="189" t="s">
        <v>149</v>
      </c>
      <c r="J17" s="172" t="s">
        <v>161</v>
      </c>
      <c r="K17" s="94"/>
      <c r="L17" s="96" t="s">
        <v>24</v>
      </c>
      <c r="M17" s="69"/>
      <c r="O17" s="25"/>
      <c r="P17" s="26"/>
      <c r="Q17" s="2"/>
      <c r="R17" s="2"/>
      <c r="S17" s="20"/>
      <c r="T17" s="23"/>
      <c r="U17" s="20"/>
      <c r="V17" s="20"/>
      <c r="W17" s="19"/>
    </row>
    <row r="18" spans="1:23" s="9" customFormat="1" ht="15">
      <c r="A18" s="161" t="s">
        <v>154</v>
      </c>
      <c r="B18" s="162"/>
      <c r="C18" s="163"/>
      <c r="D18" s="4" t="s">
        <v>14</v>
      </c>
      <c r="E18" s="74" t="s">
        <v>28</v>
      </c>
      <c r="F18" s="74" t="s">
        <v>29</v>
      </c>
      <c r="H18" s="69"/>
      <c r="I18" s="4" t="s">
        <v>14</v>
      </c>
      <c r="J18" s="74" t="s">
        <v>28</v>
      </c>
      <c r="K18" s="74" t="s">
        <v>29</v>
      </c>
      <c r="M18" s="69"/>
      <c r="O18" s="22"/>
      <c r="P18" s="22"/>
      <c r="Q18" s="2"/>
      <c r="R18" s="2"/>
      <c r="S18" s="20"/>
      <c r="T18" s="23"/>
      <c r="U18" s="20"/>
      <c r="V18" s="20"/>
      <c r="W18" s="19"/>
    </row>
    <row r="19" spans="1:23" s="9" customFormat="1" ht="15">
      <c r="A19" s="143" t="s">
        <v>15</v>
      </c>
      <c r="B19" s="144"/>
      <c r="C19" s="147"/>
      <c r="D19" s="65" t="s">
        <v>4</v>
      </c>
      <c r="E19" s="45" t="s">
        <v>158</v>
      </c>
      <c r="F19" s="45" t="s">
        <v>159</v>
      </c>
      <c r="G19" s="45" t="s">
        <v>160</v>
      </c>
      <c r="H19" s="111"/>
      <c r="I19" s="57" t="s">
        <v>4</v>
      </c>
      <c r="J19" s="45" t="s">
        <v>158</v>
      </c>
      <c r="K19" s="45" t="s">
        <v>159</v>
      </c>
      <c r="L19" s="45" t="s">
        <v>160</v>
      </c>
      <c r="M19" s="69"/>
      <c r="O19" s="22"/>
      <c r="P19" s="22"/>
      <c r="Q19" s="23"/>
      <c r="R19" s="23"/>
      <c r="S19" s="20"/>
      <c r="T19" s="23"/>
      <c r="U19" s="20"/>
      <c r="V19" s="20"/>
      <c r="W19" s="19"/>
    </row>
    <row r="20" spans="1:23" s="9" customFormat="1" ht="16.5" customHeight="1">
      <c r="A20" s="161" t="s">
        <v>155</v>
      </c>
      <c r="B20" s="162"/>
      <c r="C20" s="164"/>
      <c r="D20" s="104" t="s">
        <v>86</v>
      </c>
      <c r="E20" s="48">
        <f>IF(E14="REGISTAR",F8,F9)</f>
        <v>150</v>
      </c>
      <c r="F20" s="48">
        <f>E20</f>
        <v>150</v>
      </c>
      <c r="G20" s="75">
        <f>E20</f>
        <v>150</v>
      </c>
      <c r="H20" s="69"/>
      <c r="I20" s="104" t="s">
        <v>86</v>
      </c>
      <c r="J20" s="48">
        <f>IF(E14="REGISTAR",F9,F8)</f>
        <v>100</v>
      </c>
      <c r="K20" s="48">
        <f>J20</f>
        <v>100</v>
      </c>
      <c r="L20" s="76">
        <f>J20</f>
        <v>100</v>
      </c>
      <c r="M20" s="69"/>
      <c r="O20" s="22"/>
      <c r="P20" s="22"/>
      <c r="Q20" s="23"/>
      <c r="R20" s="23"/>
      <c r="S20" s="20"/>
      <c r="T20" s="23"/>
      <c r="U20" s="20"/>
      <c r="V20" s="20"/>
      <c r="W20" s="19"/>
    </row>
    <row r="21" spans="1:23" s="9" customFormat="1" ht="16.5" customHeight="1">
      <c r="A21" s="165" t="s">
        <v>156</v>
      </c>
      <c r="B21" s="166"/>
      <c r="C21" s="167"/>
      <c r="D21" s="105" t="s">
        <v>87</v>
      </c>
      <c r="E21" s="48">
        <f>IF(E14="REGISTAR",F10,F11)</f>
        <v>25</v>
      </c>
      <c r="F21" s="48">
        <f>E21</f>
        <v>25</v>
      </c>
      <c r="G21" s="75">
        <f>E21</f>
        <v>25</v>
      </c>
      <c r="H21" s="69"/>
      <c r="I21" s="105" t="s">
        <v>87</v>
      </c>
      <c r="J21" s="48">
        <f>IF(E14="REGISTAR",F11,F10)</f>
        <v>10</v>
      </c>
      <c r="K21" s="48">
        <f>J21</f>
        <v>10</v>
      </c>
      <c r="L21" s="76">
        <f>J21</f>
        <v>10</v>
      </c>
      <c r="M21" s="69"/>
      <c r="O21" s="22"/>
      <c r="P21" s="22"/>
      <c r="Q21" s="23"/>
      <c r="R21" s="23"/>
      <c r="S21" s="20"/>
      <c r="T21" s="23"/>
      <c r="U21" s="20"/>
      <c r="V21" s="20"/>
      <c r="W21" s="19"/>
    </row>
    <row r="22" spans="1:23" s="9" customFormat="1" ht="15">
      <c r="A22" s="143" t="s">
        <v>157</v>
      </c>
      <c r="B22" s="144"/>
      <c r="C22" s="147"/>
      <c r="D22" s="109" t="s">
        <v>88</v>
      </c>
      <c r="E22" s="44">
        <v>226</v>
      </c>
      <c r="F22" s="59">
        <v>226</v>
      </c>
      <c r="G22" s="44">
        <v>226</v>
      </c>
      <c r="H22" s="69"/>
      <c r="I22" s="109" t="s">
        <v>88</v>
      </c>
      <c r="J22" s="44">
        <v>187</v>
      </c>
      <c r="K22" s="59">
        <v>187</v>
      </c>
      <c r="L22" s="44">
        <v>187</v>
      </c>
      <c r="M22" s="69"/>
      <c r="O22" s="23"/>
      <c r="P22" s="27"/>
      <c r="Q22" s="22"/>
      <c r="R22" s="22"/>
      <c r="S22" s="24"/>
      <c r="T22" s="23"/>
      <c r="U22" s="20"/>
      <c r="V22" s="20"/>
      <c r="W22" s="19"/>
    </row>
    <row r="23" spans="1:23" s="9" customFormat="1" ht="15">
      <c r="A23" s="143" t="s">
        <v>162</v>
      </c>
      <c r="B23" s="144"/>
      <c r="C23" s="147"/>
      <c r="D23" s="109" t="s">
        <v>89</v>
      </c>
      <c r="E23" s="58">
        <f>1.98*10^5</f>
        <v>198000</v>
      </c>
      <c r="F23" s="77"/>
      <c r="G23" s="78"/>
      <c r="H23" s="69"/>
      <c r="I23" s="109" t="s">
        <v>89</v>
      </c>
      <c r="J23" s="58">
        <f>2.03*10^5</f>
        <v>202999.99999999997</v>
      </c>
      <c r="K23" s="77"/>
      <c r="L23" s="69"/>
      <c r="M23" s="69"/>
      <c r="N23" s="34"/>
      <c r="O23" s="22"/>
      <c r="P23" s="28"/>
      <c r="Q23" s="23"/>
      <c r="R23" s="23"/>
      <c r="S23" s="20"/>
      <c r="T23" s="23"/>
      <c r="U23" s="20"/>
      <c r="V23" s="20"/>
      <c r="W23" s="19"/>
    </row>
    <row r="24" spans="1:23" s="9" customFormat="1" ht="15.75">
      <c r="A24" s="158" t="s">
        <v>16</v>
      </c>
      <c r="B24" s="152"/>
      <c r="C24" s="159"/>
      <c r="D24" s="112" t="s">
        <v>90</v>
      </c>
      <c r="E24" s="44">
        <v>1.5</v>
      </c>
      <c r="F24" s="79">
        <f>E24</f>
        <v>1.5</v>
      </c>
      <c r="G24" s="48">
        <f>E24</f>
        <v>1.5</v>
      </c>
      <c r="H24" s="69"/>
      <c r="I24" s="112" t="s">
        <v>90</v>
      </c>
      <c r="J24" s="44">
        <v>1.5</v>
      </c>
      <c r="K24" s="80">
        <f>J24</f>
        <v>1.5</v>
      </c>
      <c r="L24" s="48">
        <f>J24</f>
        <v>1.5</v>
      </c>
      <c r="M24" s="69"/>
      <c r="O24" s="22"/>
      <c r="P24" s="22"/>
      <c r="Q24" s="23"/>
      <c r="R24" s="23"/>
      <c r="S24" s="23"/>
      <c r="T24" s="23"/>
      <c r="U24" s="20"/>
      <c r="V24" s="20"/>
      <c r="W24" s="19"/>
    </row>
    <row r="25" spans="1:23" s="9" customFormat="1" ht="15.75">
      <c r="A25" s="165" t="s">
        <v>22</v>
      </c>
      <c r="B25" s="166"/>
      <c r="C25" s="167"/>
      <c r="D25" s="112" t="s">
        <v>91</v>
      </c>
      <c r="E25" s="44">
        <v>1</v>
      </c>
      <c r="F25" s="48">
        <f>E25</f>
        <v>1</v>
      </c>
      <c r="G25" s="81"/>
      <c r="H25" s="69"/>
      <c r="I25" s="112" t="s">
        <v>91</v>
      </c>
      <c r="J25" s="44">
        <v>1</v>
      </c>
      <c r="K25" s="48">
        <f>J25</f>
        <v>1</v>
      </c>
      <c r="L25" s="69"/>
      <c r="M25" s="69"/>
      <c r="N25" s="35"/>
      <c r="O25" s="22"/>
      <c r="P25" s="22"/>
      <c r="Q25" s="28"/>
      <c r="R25" s="29"/>
      <c r="S25" s="30"/>
      <c r="T25" s="22"/>
      <c r="U25" s="20"/>
      <c r="V25" s="20"/>
      <c r="W25" s="19"/>
    </row>
    <row r="26" spans="1:23" s="9" customFormat="1" ht="15.75" customHeight="1">
      <c r="A26" s="158" t="s">
        <v>17</v>
      </c>
      <c r="B26" s="152"/>
      <c r="C26" s="159"/>
      <c r="D26" s="113" t="s">
        <v>92</v>
      </c>
      <c r="E26" s="48">
        <f>IF(E34&lt;10,0.3,IF(E34&lt;30,0.5,IF(E34&lt;50,0.8,1)))</f>
        <v>0.3</v>
      </c>
      <c r="F26" s="48">
        <f>IF(F34&lt;10,0.3,IF(F34&lt;30,0.5,IF(F34&lt;50,0.8,1)))</f>
        <v>0.3</v>
      </c>
      <c r="G26" s="78"/>
      <c r="H26" s="69"/>
      <c r="I26" s="113" t="s">
        <v>92</v>
      </c>
      <c r="J26" s="48">
        <f>IF(J34&lt;10,0.3,IF(J34&lt;30,0.5,IF(J34&lt;50,0.8,1)))</f>
        <v>0.3</v>
      </c>
      <c r="K26" s="48">
        <f>IF(K34&lt;10,0.3,IF(K34&lt;30,0.5,IF(K34&lt;50,0.8,1)))</f>
        <v>0.3</v>
      </c>
      <c r="L26" s="69"/>
      <c r="M26" s="69"/>
      <c r="N26" s="34"/>
      <c r="O26" s="23"/>
      <c r="P26" s="23"/>
      <c r="Q26" s="23"/>
      <c r="R26" s="23"/>
      <c r="S26" s="23"/>
      <c r="T26" s="23"/>
      <c r="U26" s="20"/>
      <c r="V26" s="20"/>
      <c r="W26" s="19"/>
    </row>
    <row r="27" spans="1:22" s="9" customFormat="1" ht="15.75" customHeight="1">
      <c r="A27" s="165" t="s">
        <v>18</v>
      </c>
      <c r="B27" s="166"/>
      <c r="C27" s="167"/>
      <c r="D27" s="113" t="s">
        <v>93</v>
      </c>
      <c r="E27" s="48">
        <f>IF(E34&lt;30,1,0)</f>
        <v>1</v>
      </c>
      <c r="F27" s="48">
        <f>IF(F34&lt;30,1,0)</f>
        <v>1</v>
      </c>
      <c r="G27" s="78"/>
      <c r="H27" s="69"/>
      <c r="I27" s="113" t="s">
        <v>93</v>
      </c>
      <c r="J27" s="48">
        <f>IF(J34&lt;30,1,0)</f>
        <v>1</v>
      </c>
      <c r="K27" s="48">
        <f>IF(K34&lt;30,1,0)</f>
        <v>1</v>
      </c>
      <c r="L27" s="69"/>
      <c r="M27" s="69"/>
      <c r="N27" s="34"/>
      <c r="O27" s="22"/>
      <c r="P27" s="20"/>
      <c r="Q27" s="23"/>
      <c r="R27" s="23"/>
      <c r="S27" s="23"/>
      <c r="T27" s="23"/>
      <c r="U27" s="23"/>
      <c r="V27" s="20"/>
    </row>
    <row r="28" spans="1:22" s="9" customFormat="1" ht="15">
      <c r="A28" s="143" t="s">
        <v>163</v>
      </c>
      <c r="B28" s="144"/>
      <c r="C28" s="147"/>
      <c r="D28" s="113" t="s">
        <v>64</v>
      </c>
      <c r="E28" s="48">
        <f>M8*E21*E31/(40*E22*E25/E24)+E26+E27</f>
        <v>6.692699115044247</v>
      </c>
      <c r="F28" s="48">
        <f>M8*F21/(40*F22*F25/F24+F21)+F26+F27</f>
        <v>3.3655466813549983</v>
      </c>
      <c r="G28" s="48">
        <f>G32*G33*(G21*G24/(10*G22))^0.5</f>
        <v>31.172869415737452</v>
      </c>
      <c r="H28" s="69"/>
      <c r="I28" s="113" t="s">
        <v>64</v>
      </c>
      <c r="J28" s="48">
        <f>M8*J21*J31/(40*J22*J25/J24)+J26+J27</f>
        <v>4.308021390374331</v>
      </c>
      <c r="K28" s="48">
        <f>M8*K21/(40*K22*K25/K24+K21)+K26+K27</f>
        <v>2.300667111407605</v>
      </c>
      <c r="L28" s="48">
        <f>L32*L33*(L21*L24/(10*L22))^0.5</f>
        <v>21.94274270047506</v>
      </c>
      <c r="M28" s="69"/>
      <c r="O28" s="22"/>
      <c r="P28" s="23"/>
      <c r="Q28" s="23"/>
      <c r="R28" s="31"/>
      <c r="S28" s="23"/>
      <c r="T28" s="32"/>
      <c r="U28" s="21"/>
      <c r="V28" s="20"/>
    </row>
    <row r="29" spans="1:22" s="9" customFormat="1" ht="16.5">
      <c r="A29" s="158" t="s">
        <v>19</v>
      </c>
      <c r="B29" s="152"/>
      <c r="C29" s="159"/>
      <c r="D29" s="110" t="s">
        <v>94</v>
      </c>
      <c r="E29" s="48">
        <f>(E34-E26-E27)/M8</f>
        <v>0.0134</v>
      </c>
      <c r="F29" s="78"/>
      <c r="G29" s="78"/>
      <c r="H29" s="69"/>
      <c r="I29" s="110" t="s">
        <v>94</v>
      </c>
      <c r="J29" s="48">
        <f>(J34-J26-J27)/M8</f>
        <v>0.0074</v>
      </c>
      <c r="K29" s="78"/>
      <c r="L29" s="78"/>
      <c r="M29" s="69"/>
      <c r="N29" s="42"/>
      <c r="O29" s="42"/>
      <c r="P29" s="31"/>
      <c r="Q29" s="23"/>
      <c r="R29" s="23"/>
      <c r="S29" s="23"/>
      <c r="T29" s="32"/>
      <c r="U29" s="21"/>
      <c r="V29" s="20"/>
    </row>
    <row r="30" spans="1:15" s="9" customFormat="1" ht="16.5" customHeight="1">
      <c r="A30" s="165" t="s">
        <v>19</v>
      </c>
      <c r="B30" s="166"/>
      <c r="C30" s="167"/>
      <c r="D30" s="108" t="s">
        <v>95</v>
      </c>
      <c r="E30" s="48">
        <f>M9/M8</f>
        <v>0</v>
      </c>
      <c r="F30" s="78"/>
      <c r="G30" s="92"/>
      <c r="H30" s="69"/>
      <c r="I30" s="108" t="s">
        <v>95</v>
      </c>
      <c r="J30" s="48">
        <f>M9/M8</f>
        <v>0</v>
      </c>
      <c r="K30" s="78"/>
      <c r="L30" s="92"/>
      <c r="M30" s="69"/>
      <c r="N30" s="36"/>
      <c r="O30" s="5"/>
    </row>
    <row r="31" spans="1:15" s="9" customFormat="1" ht="15.75">
      <c r="A31" s="158" t="s">
        <v>164</v>
      </c>
      <c r="B31" s="152"/>
      <c r="C31" s="159"/>
      <c r="D31" s="106" t="s">
        <v>96</v>
      </c>
      <c r="E31" s="7">
        <v>2.6</v>
      </c>
      <c r="F31" s="82"/>
      <c r="G31" s="82"/>
      <c r="H31" s="69"/>
      <c r="I31" s="106" t="s">
        <v>96</v>
      </c>
      <c r="J31" s="8">
        <v>3</v>
      </c>
      <c r="K31" s="82"/>
      <c r="L31" s="82"/>
      <c r="M31" s="69"/>
      <c r="N31" s="20"/>
      <c r="O31" s="34"/>
    </row>
    <row r="32" spans="1:13" s="9" customFormat="1" ht="15.75">
      <c r="A32" s="165" t="s">
        <v>164</v>
      </c>
      <c r="B32" s="166"/>
      <c r="C32" s="167"/>
      <c r="D32" s="112" t="s">
        <v>97</v>
      </c>
      <c r="E32" s="82"/>
      <c r="F32" s="82"/>
      <c r="G32" s="7">
        <v>0.5</v>
      </c>
      <c r="H32" s="69"/>
      <c r="I32" s="112" t="s">
        <v>97</v>
      </c>
      <c r="J32" s="82"/>
      <c r="K32" s="82"/>
      <c r="L32" s="7">
        <v>0.5</v>
      </c>
      <c r="M32" s="69"/>
    </row>
    <row r="33" spans="1:13" s="9" customFormat="1" ht="16.5">
      <c r="A33" s="165" t="s">
        <v>165</v>
      </c>
      <c r="B33" s="166"/>
      <c r="C33" s="167"/>
      <c r="D33" s="113" t="s">
        <v>98</v>
      </c>
      <c r="E33" s="82"/>
      <c r="F33" s="82"/>
      <c r="G33" s="48">
        <f>M8-2*E51</f>
        <v>484</v>
      </c>
      <c r="H33" s="69"/>
      <c r="I33" s="113" t="s">
        <v>98</v>
      </c>
      <c r="J33" s="82"/>
      <c r="K33" s="82"/>
      <c r="L33" s="48">
        <f>M8-2*H51</f>
        <v>490</v>
      </c>
      <c r="M33" s="69"/>
    </row>
    <row r="34" spans="1:13" s="9" customFormat="1" ht="16.5">
      <c r="A34" s="143" t="s">
        <v>20</v>
      </c>
      <c r="B34" s="144"/>
      <c r="C34" s="147"/>
      <c r="D34" s="113" t="s">
        <v>99</v>
      </c>
      <c r="E34" s="7">
        <v>8</v>
      </c>
      <c r="F34" s="8">
        <v>8</v>
      </c>
      <c r="G34" s="7">
        <v>40</v>
      </c>
      <c r="H34" s="69"/>
      <c r="I34" s="113" t="s">
        <v>99</v>
      </c>
      <c r="J34" s="8">
        <v>5</v>
      </c>
      <c r="K34" s="8">
        <v>5</v>
      </c>
      <c r="L34" s="8">
        <v>36</v>
      </c>
      <c r="M34" s="69"/>
    </row>
    <row r="35" spans="1:13" s="9" customFormat="1" ht="18.75">
      <c r="A35" s="143" t="s">
        <v>19</v>
      </c>
      <c r="B35" s="144"/>
      <c r="C35" s="147"/>
      <c r="D35" s="112" t="s">
        <v>100</v>
      </c>
      <c r="E35" s="7">
        <v>7000</v>
      </c>
      <c r="F35" s="69"/>
      <c r="G35" s="69"/>
      <c r="H35" s="69"/>
      <c r="I35" s="112" t="s">
        <v>100</v>
      </c>
      <c r="J35" s="7">
        <v>7000</v>
      </c>
      <c r="K35" s="69"/>
      <c r="L35" s="69"/>
      <c r="M35" s="69"/>
    </row>
    <row r="36" spans="1:14" s="9" customFormat="1" ht="18.75">
      <c r="A36" s="164" t="s">
        <v>21</v>
      </c>
      <c r="B36" s="162"/>
      <c r="C36" s="164"/>
      <c r="D36" s="105" t="s">
        <v>101</v>
      </c>
      <c r="E36" s="83">
        <f>E35*10^6/(E23*10^5)</f>
        <v>0.35353535353535354</v>
      </c>
      <c r="F36" s="69"/>
      <c r="G36" s="69"/>
      <c r="H36" s="69"/>
      <c r="I36" s="105" t="s">
        <v>101</v>
      </c>
      <c r="J36" s="83">
        <f>J35*10^6/(J23*10^5)</f>
        <v>0.34482758620689663</v>
      </c>
      <c r="K36" s="69"/>
      <c r="L36" s="69"/>
      <c r="M36" s="69"/>
      <c r="N36" s="36"/>
    </row>
    <row r="37" spans="1:15" s="9" customFormat="1" ht="16.5" customHeight="1">
      <c r="A37" s="158" t="s">
        <v>26</v>
      </c>
      <c r="B37" s="152"/>
      <c r="C37" s="160"/>
      <c r="D37" s="108" t="s">
        <v>102</v>
      </c>
      <c r="E37" s="173" t="str">
        <f>IF(E36&gt;1.5*E21,"&gt;","&lt;")</f>
        <v>&lt;</v>
      </c>
      <c r="F37" s="57" t="s">
        <v>103</v>
      </c>
      <c r="G37" s="69"/>
      <c r="H37" s="69"/>
      <c r="I37" s="108" t="s">
        <v>102</v>
      </c>
      <c r="J37" s="173" t="str">
        <f>IF(J36&gt;1.5*J21,"&gt;","&lt;")</f>
        <v>&lt;</v>
      </c>
      <c r="K37" s="57" t="s">
        <v>103</v>
      </c>
      <c r="L37" s="69"/>
      <c r="M37" s="69"/>
      <c r="O37" s="20"/>
    </row>
    <row r="38" spans="1:13" s="9" customFormat="1" ht="15">
      <c r="A38" s="165" t="s">
        <v>27</v>
      </c>
      <c r="B38" s="166"/>
      <c r="C38" s="168"/>
      <c r="D38" s="169" t="str">
        <f>IF(E37="&lt;","NEMA ULUBLJIVANJA","IMA ULUBLJIVANJA")</f>
        <v>NEMA ULUBLJIVANJA</v>
      </c>
      <c r="E38" s="170"/>
      <c r="F38" s="171"/>
      <c r="G38" s="156"/>
      <c r="H38" s="156"/>
      <c r="I38" s="169" t="str">
        <f>IF(J37="&lt;","NEMA ULUBLJIVANJA","IMA ULUBLJIVANJA")</f>
        <v>NEMA ULUBLJIVANJA</v>
      </c>
      <c r="J38" s="170"/>
      <c r="K38" s="171"/>
      <c r="L38" s="69"/>
      <c r="M38" s="69"/>
    </row>
    <row r="39" spans="1:13" s="9" customFormat="1" ht="14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s="9" customFormat="1" ht="15">
      <c r="A40" s="156"/>
      <c r="B40" s="156"/>
      <c r="C40" s="154" t="s">
        <v>3</v>
      </c>
      <c r="D40" s="155" t="s">
        <v>170</v>
      </c>
      <c r="E40" s="156"/>
      <c r="F40" s="156"/>
      <c r="G40" s="156"/>
      <c r="H40" s="155"/>
      <c r="I40" s="155"/>
      <c r="J40" s="174"/>
      <c r="K40" s="175"/>
      <c r="L40" s="175"/>
      <c r="M40" s="176" t="s">
        <v>172</v>
      </c>
    </row>
    <row r="41" spans="1:14" ht="15">
      <c r="A41" s="175"/>
      <c r="B41" s="175"/>
      <c r="C41" s="175"/>
      <c r="D41" s="175"/>
      <c r="E41" s="176" t="s">
        <v>171</v>
      </c>
      <c r="F41" s="175"/>
      <c r="G41" s="175"/>
      <c r="H41" s="176" t="s">
        <v>169</v>
      </c>
      <c r="I41" s="175"/>
      <c r="J41" s="139" t="s">
        <v>4</v>
      </c>
      <c r="K41" s="7" t="s">
        <v>167</v>
      </c>
      <c r="L41" s="175"/>
      <c r="M41" s="175"/>
      <c r="N41" s="33"/>
    </row>
    <row r="42" spans="1:14" ht="16.5" customHeight="1">
      <c r="A42" s="143" t="s">
        <v>168</v>
      </c>
      <c r="B42" s="144"/>
      <c r="C42" s="147"/>
      <c r="D42" s="139" t="s">
        <v>4</v>
      </c>
      <c r="E42" s="46" t="s">
        <v>166</v>
      </c>
      <c r="F42" s="84"/>
      <c r="G42" s="139" t="s">
        <v>4</v>
      </c>
      <c r="H42" s="7" t="s">
        <v>166</v>
      </c>
      <c r="I42" s="84"/>
      <c r="J42" s="104" t="s">
        <v>86</v>
      </c>
      <c r="K42" s="48">
        <f>E20</f>
        <v>150</v>
      </c>
      <c r="L42" s="48">
        <f>J20</f>
        <v>100</v>
      </c>
      <c r="M42" s="84"/>
      <c r="N42" s="34"/>
    </row>
    <row r="43" spans="1:14" ht="16.5" customHeight="1">
      <c r="A43" s="161" t="s">
        <v>155</v>
      </c>
      <c r="B43" s="162"/>
      <c r="C43" s="164"/>
      <c r="D43" s="177" t="s">
        <v>173</v>
      </c>
      <c r="E43" s="48">
        <f>E20</f>
        <v>150</v>
      </c>
      <c r="F43" s="84"/>
      <c r="G43" s="104" t="s">
        <v>86</v>
      </c>
      <c r="H43" s="48">
        <f>J20</f>
        <v>100</v>
      </c>
      <c r="I43" s="84"/>
      <c r="J43" s="105" t="s">
        <v>87</v>
      </c>
      <c r="K43" s="48">
        <f>E21</f>
        <v>25</v>
      </c>
      <c r="L43" s="48">
        <f>J21</f>
        <v>10</v>
      </c>
      <c r="M43" s="84"/>
      <c r="N43" s="34"/>
    </row>
    <row r="44" spans="1:14" ht="16.5" customHeight="1">
      <c r="A44" s="165" t="s">
        <v>156</v>
      </c>
      <c r="B44" s="166"/>
      <c r="C44" s="167"/>
      <c r="D44" s="178" t="s">
        <v>174</v>
      </c>
      <c r="E44" s="48">
        <f>E21</f>
        <v>25</v>
      </c>
      <c r="F44" s="84"/>
      <c r="G44" s="105" t="s">
        <v>87</v>
      </c>
      <c r="H44" s="48">
        <f>J21</f>
        <v>10</v>
      </c>
      <c r="I44" s="84"/>
      <c r="J44" s="109" t="s">
        <v>88</v>
      </c>
      <c r="K44" s="44">
        <v>240</v>
      </c>
      <c r="L44" s="44">
        <v>254</v>
      </c>
      <c r="M44" s="84"/>
      <c r="N44" s="34"/>
    </row>
    <row r="45" spans="1:14" ht="16.5" customHeight="1">
      <c r="A45" s="143" t="s">
        <v>157</v>
      </c>
      <c r="B45" s="144"/>
      <c r="C45" s="147"/>
      <c r="D45" s="179" t="s">
        <v>88</v>
      </c>
      <c r="E45" s="44">
        <v>174</v>
      </c>
      <c r="F45" s="84"/>
      <c r="G45" s="109" t="s">
        <v>88</v>
      </c>
      <c r="H45" s="44">
        <v>187</v>
      </c>
      <c r="I45" s="84"/>
      <c r="J45" s="112" t="s">
        <v>90</v>
      </c>
      <c r="K45" s="44">
        <v>1.5</v>
      </c>
      <c r="L45" s="156"/>
      <c r="M45" s="84"/>
      <c r="N45" s="34"/>
    </row>
    <row r="46" spans="1:14" ht="16.5" customHeight="1">
      <c r="A46" s="158" t="s">
        <v>16</v>
      </c>
      <c r="B46" s="152"/>
      <c r="C46" s="159"/>
      <c r="D46" s="180" t="s">
        <v>175</v>
      </c>
      <c r="E46" s="44">
        <v>1.5</v>
      </c>
      <c r="F46" s="84"/>
      <c r="G46" s="112" t="s">
        <v>90</v>
      </c>
      <c r="H46" s="44">
        <v>1.5</v>
      </c>
      <c r="I46" s="84"/>
      <c r="J46" s="112" t="s">
        <v>104</v>
      </c>
      <c r="K46" s="48">
        <f>MIN(2*M11,2*M12,(M11^2+M12^2)^0.5)</f>
        <v>22.89650628371062</v>
      </c>
      <c r="L46" s="156"/>
      <c r="M46" s="81"/>
      <c r="N46" s="35"/>
    </row>
    <row r="47" spans="1:14" ht="16.5" customHeight="1">
      <c r="A47" s="165" t="s">
        <v>22</v>
      </c>
      <c r="B47" s="166"/>
      <c r="C47" s="167"/>
      <c r="D47" s="112" t="s">
        <v>91</v>
      </c>
      <c r="E47" s="44">
        <v>0.8</v>
      </c>
      <c r="F47" s="84"/>
      <c r="G47" s="112" t="s">
        <v>91</v>
      </c>
      <c r="H47" s="44">
        <v>0.8</v>
      </c>
      <c r="I47" s="84"/>
      <c r="J47" s="112" t="s">
        <v>91</v>
      </c>
      <c r="K47" s="48">
        <f>IF(L10/M10&gt;1.2,(K46-L10/1.2)/K487,(K46-M10)/K46)</f>
        <v>0.3012034324475537</v>
      </c>
      <c r="L47" s="156"/>
      <c r="M47" s="78"/>
      <c r="N47" s="34"/>
    </row>
    <row r="48" spans="1:14" ht="16.5" customHeight="1">
      <c r="A48" s="158" t="s">
        <v>17</v>
      </c>
      <c r="B48" s="152"/>
      <c r="C48" s="159"/>
      <c r="D48" s="181" t="s">
        <v>176</v>
      </c>
      <c r="E48" s="48">
        <f>IF(E51&lt;10,0.3,IF(E51&lt;30,0.5,IF(E51&lt;50,0.8,1)))</f>
        <v>0.3</v>
      </c>
      <c r="F48" s="84"/>
      <c r="G48" s="113" t="s">
        <v>92</v>
      </c>
      <c r="H48" s="48">
        <f>IF(H51&lt;10,0.3,IF(H51&lt;30,0.5,IF(H51&lt;50,0.8,1)))</f>
        <v>0.3</v>
      </c>
      <c r="I48" s="84"/>
      <c r="J48" s="112" t="s">
        <v>97</v>
      </c>
      <c r="K48" s="7">
        <v>0.4</v>
      </c>
      <c r="L48" s="156"/>
      <c r="M48" s="84"/>
      <c r="N48" s="34"/>
    </row>
    <row r="49" spans="1:14" ht="16.5" customHeight="1">
      <c r="A49" s="165" t="s">
        <v>18</v>
      </c>
      <c r="B49" s="166"/>
      <c r="C49" s="167"/>
      <c r="D49" s="181" t="s">
        <v>177</v>
      </c>
      <c r="E49" s="48">
        <f>IF(E51&lt;30,1,0)</f>
        <v>1</v>
      </c>
      <c r="F49" s="84"/>
      <c r="G49" s="113" t="s">
        <v>93</v>
      </c>
      <c r="H49" s="48">
        <f>IF(H51&lt;30,1,0)</f>
        <v>1</v>
      </c>
      <c r="I49" s="84"/>
      <c r="J49" s="113" t="s">
        <v>98</v>
      </c>
      <c r="K49" s="48">
        <f>M8+F68+4</f>
        <v>529</v>
      </c>
      <c r="L49" s="156"/>
      <c r="M49" s="84"/>
      <c r="N49" s="34"/>
    </row>
    <row r="50" spans="1:14" ht="16.5" customHeight="1">
      <c r="A50" s="143" t="s">
        <v>163</v>
      </c>
      <c r="B50" s="144"/>
      <c r="C50" s="147"/>
      <c r="D50" s="181" t="s">
        <v>178</v>
      </c>
      <c r="E50" s="48">
        <f>M8*E44/(20*E45*E47/E46+E44)+E48+E49</f>
        <v>7.945401382243487</v>
      </c>
      <c r="F50" s="84"/>
      <c r="G50" s="113" t="s">
        <v>64</v>
      </c>
      <c r="H50" s="48">
        <f>M8*H44/(20*H45*H47/H46+H44)+H48+H49</f>
        <v>3.7941802460924507</v>
      </c>
      <c r="I50" s="84"/>
      <c r="J50" s="113" t="s">
        <v>64</v>
      </c>
      <c r="K50" s="48">
        <f>K48*K49*((K43*K45/(10*K44*K47)))^0.5</f>
        <v>48.19430458369576</v>
      </c>
      <c r="L50" s="48">
        <f>K48*K49*((L43*K45/(10*L44*K47)))^0.5</f>
        <v>29.62882823222816</v>
      </c>
      <c r="M50" s="84"/>
      <c r="N50" s="5"/>
    </row>
    <row r="51" spans="1:13" ht="16.5" customHeight="1">
      <c r="A51" s="143" t="s">
        <v>20</v>
      </c>
      <c r="B51" s="144"/>
      <c r="C51" s="147"/>
      <c r="D51" s="181" t="s">
        <v>179</v>
      </c>
      <c r="E51" s="7">
        <v>8</v>
      </c>
      <c r="F51" s="84"/>
      <c r="G51" s="113" t="s">
        <v>99</v>
      </c>
      <c r="H51" s="7">
        <v>5</v>
      </c>
      <c r="I51" s="69"/>
      <c r="J51" s="113" t="s">
        <v>99</v>
      </c>
      <c r="K51" s="7">
        <v>50</v>
      </c>
      <c r="L51" s="156"/>
      <c r="M51" s="84"/>
    </row>
    <row r="52" spans="1:13" ht="16.5" customHeight="1">
      <c r="A52" s="73"/>
      <c r="B52" s="91"/>
      <c r="C52" s="73"/>
      <c r="D52" s="114"/>
      <c r="E52" s="115"/>
      <c r="F52" s="116"/>
      <c r="G52" s="114"/>
      <c r="H52" s="115"/>
      <c r="I52" s="117"/>
      <c r="J52" s="114"/>
      <c r="K52" s="115"/>
      <c r="L52" s="117"/>
      <c r="M52" s="116"/>
    </row>
    <row r="53" spans="1:13" ht="16.5" customHeight="1">
      <c r="A53" s="73"/>
      <c r="B53" s="91"/>
      <c r="C53" s="73"/>
      <c r="D53" s="114"/>
      <c r="E53" s="115"/>
      <c r="F53" s="116"/>
      <c r="G53" s="114"/>
      <c r="H53" s="115"/>
      <c r="I53" s="117"/>
      <c r="J53" s="114"/>
      <c r="K53" s="115"/>
      <c r="L53" s="117"/>
      <c r="M53" s="116"/>
    </row>
    <row r="54" spans="1:13" ht="16.5" customHeight="1">
      <c r="A54" s="73"/>
      <c r="B54" s="91"/>
      <c r="C54" s="73"/>
      <c r="D54" s="114"/>
      <c r="E54" s="115"/>
      <c r="F54" s="116"/>
      <c r="G54" s="114"/>
      <c r="H54" s="115"/>
      <c r="I54" s="117"/>
      <c r="J54" s="114"/>
      <c r="K54" s="115"/>
      <c r="L54" s="117"/>
      <c r="M54" s="116"/>
    </row>
    <row r="55" spans="1:13" ht="16.5" customHeight="1">
      <c r="A55" s="73"/>
      <c r="B55" s="91"/>
      <c r="C55" s="73"/>
      <c r="D55" s="114"/>
      <c r="E55" s="115"/>
      <c r="F55" s="116"/>
      <c r="G55" s="114"/>
      <c r="H55" s="115"/>
      <c r="I55" s="117"/>
      <c r="J55" s="114"/>
      <c r="K55" s="115"/>
      <c r="L55" s="117"/>
      <c r="M55" s="116"/>
    </row>
    <row r="56" spans="1:13" ht="16.5" customHeight="1">
      <c r="A56" s="73"/>
      <c r="B56" s="91"/>
      <c r="C56" s="73"/>
      <c r="D56" s="114"/>
      <c r="E56" s="115"/>
      <c r="F56" s="116"/>
      <c r="G56" s="114"/>
      <c r="H56" s="115"/>
      <c r="I56" s="117"/>
      <c r="J56" s="114"/>
      <c r="K56" s="115"/>
      <c r="L56" s="117"/>
      <c r="M56" s="116"/>
    </row>
    <row r="57" spans="1:13" ht="16.5" customHeight="1">
      <c r="A57" s="73"/>
      <c r="B57" s="91"/>
      <c r="C57" s="73"/>
      <c r="D57" s="114"/>
      <c r="E57" s="115"/>
      <c r="F57" s="116"/>
      <c r="G57" s="114"/>
      <c r="H57" s="115"/>
      <c r="I57" s="117"/>
      <c r="J57" s="114"/>
      <c r="K57" s="115"/>
      <c r="L57" s="117"/>
      <c r="M57" s="116"/>
    </row>
    <row r="58" spans="1:13" ht="16.5" customHeight="1">
      <c r="A58" s="73"/>
      <c r="B58" s="91"/>
      <c r="C58" s="73"/>
      <c r="D58" s="114"/>
      <c r="E58" s="115"/>
      <c r="F58" s="116"/>
      <c r="G58" s="114"/>
      <c r="H58" s="115"/>
      <c r="I58" s="117"/>
      <c r="J58" s="114"/>
      <c r="K58" s="115"/>
      <c r="L58" s="117"/>
      <c r="M58" s="116"/>
    </row>
    <row r="59" spans="1:13" ht="16.5" customHeight="1">
      <c r="A59" s="73"/>
      <c r="B59" s="91"/>
      <c r="C59" s="73"/>
      <c r="D59" s="114"/>
      <c r="E59" s="115"/>
      <c r="F59" s="116"/>
      <c r="G59" s="114"/>
      <c r="H59" s="115"/>
      <c r="I59" s="117"/>
      <c r="J59" s="114"/>
      <c r="K59" s="115"/>
      <c r="L59" s="117"/>
      <c r="M59" s="116"/>
    </row>
    <row r="60" spans="1:13" ht="16.5" customHeight="1">
      <c r="A60" s="73"/>
      <c r="B60" s="91"/>
      <c r="C60" s="73"/>
      <c r="D60" s="114"/>
      <c r="E60" s="115"/>
      <c r="F60" s="116"/>
      <c r="G60" s="114"/>
      <c r="H60" s="115"/>
      <c r="I60" s="117"/>
      <c r="J60" s="114"/>
      <c r="K60" s="115"/>
      <c r="L60" s="117"/>
      <c r="M60" s="116"/>
    </row>
    <row r="61" spans="1:13" ht="16.5" customHeight="1">
      <c r="A61" s="73"/>
      <c r="B61" s="91"/>
      <c r="C61" s="73"/>
      <c r="D61" s="114"/>
      <c r="E61" s="115"/>
      <c r="F61" s="116"/>
      <c r="G61" s="114"/>
      <c r="H61" s="115"/>
      <c r="I61" s="117"/>
      <c r="J61" s="114"/>
      <c r="K61" s="115"/>
      <c r="L61" s="117"/>
      <c r="M61" s="116"/>
    </row>
    <row r="62" spans="1:13" ht="16.5" customHeight="1">
      <c r="A62" s="73"/>
      <c r="B62" s="91"/>
      <c r="C62" s="73"/>
      <c r="D62" s="114"/>
      <c r="E62" s="115"/>
      <c r="F62" s="116"/>
      <c r="G62" s="114"/>
      <c r="H62" s="115"/>
      <c r="I62" s="117"/>
      <c r="J62" s="114"/>
      <c r="K62" s="115"/>
      <c r="L62" s="117"/>
      <c r="M62" s="116"/>
    </row>
    <row r="63" spans="1:13" ht="16.5" customHeight="1">
      <c r="A63" s="69"/>
      <c r="B63" s="69"/>
      <c r="C63" s="69"/>
      <c r="D63" s="154" t="s">
        <v>59</v>
      </c>
      <c r="E63" s="156"/>
      <c r="F63" s="156"/>
      <c r="G63" s="156"/>
      <c r="H63" s="156"/>
      <c r="I63" s="176" t="s">
        <v>180</v>
      </c>
      <c r="J63" s="156"/>
      <c r="K63" s="156"/>
      <c r="L63" s="156"/>
      <c r="M63" s="175"/>
    </row>
    <row r="64" spans="1:15" ht="16.5" customHeight="1">
      <c r="A64" s="69"/>
      <c r="B64" s="72"/>
      <c r="C64" s="69"/>
      <c r="D64" s="156"/>
      <c r="E64" s="182" t="s">
        <v>182</v>
      </c>
      <c r="F64" s="147"/>
      <c r="G64" s="150"/>
      <c r="H64" s="182" t="s">
        <v>183</v>
      </c>
      <c r="I64" s="147"/>
      <c r="J64" s="150"/>
      <c r="K64" s="182" t="s">
        <v>56</v>
      </c>
      <c r="L64" s="147"/>
      <c r="M64" s="150"/>
      <c r="O64" s="37"/>
    </row>
    <row r="65" spans="1:15" ht="16.5" customHeight="1">
      <c r="A65" s="158" t="s">
        <v>184</v>
      </c>
      <c r="B65" s="159"/>
      <c r="C65" s="160"/>
      <c r="D65" s="183" t="s">
        <v>35</v>
      </c>
      <c r="E65" s="184" t="s">
        <v>32</v>
      </c>
      <c r="F65" s="185" t="s">
        <v>33</v>
      </c>
      <c r="G65" s="186" t="s">
        <v>34</v>
      </c>
      <c r="H65" s="184" t="s">
        <v>32</v>
      </c>
      <c r="I65" s="185" t="s">
        <v>33</v>
      </c>
      <c r="J65" s="186" t="s">
        <v>34</v>
      </c>
      <c r="K65" s="184" t="s">
        <v>32</v>
      </c>
      <c r="L65" s="185" t="s">
        <v>33</v>
      </c>
      <c r="M65" s="186" t="s">
        <v>34</v>
      </c>
      <c r="O65" s="6"/>
    </row>
    <row r="66" spans="1:15" ht="16.5" customHeight="1">
      <c r="A66" s="158" t="s">
        <v>185</v>
      </c>
      <c r="B66" s="159"/>
      <c r="C66" s="159"/>
      <c r="D66" s="53"/>
      <c r="E66" s="121" t="s">
        <v>109</v>
      </c>
      <c r="F66" s="118" t="s">
        <v>106</v>
      </c>
      <c r="G66" s="119" t="s">
        <v>107</v>
      </c>
      <c r="H66" s="121" t="s">
        <v>109</v>
      </c>
      <c r="I66" s="118" t="s">
        <v>106</v>
      </c>
      <c r="J66" s="119" t="s">
        <v>107</v>
      </c>
      <c r="K66" s="121" t="s">
        <v>109</v>
      </c>
      <c r="L66" s="118" t="s">
        <v>106</v>
      </c>
      <c r="M66" s="119" t="s">
        <v>107</v>
      </c>
      <c r="O66" s="6"/>
    </row>
    <row r="67" spans="1:15" ht="16.5" customHeight="1">
      <c r="A67" s="161" t="s">
        <v>108</v>
      </c>
      <c r="B67" s="162"/>
      <c r="C67" s="164"/>
      <c r="D67" s="120"/>
      <c r="E67" s="52" t="s">
        <v>105</v>
      </c>
      <c r="F67" s="49" t="s">
        <v>110</v>
      </c>
      <c r="G67" s="49" t="s">
        <v>110</v>
      </c>
      <c r="H67" s="52" t="s">
        <v>105</v>
      </c>
      <c r="I67" s="49" t="s">
        <v>110</v>
      </c>
      <c r="J67" s="49" t="s">
        <v>110</v>
      </c>
      <c r="K67" s="52" t="s">
        <v>105</v>
      </c>
      <c r="L67" s="49" t="s">
        <v>110</v>
      </c>
      <c r="M67" s="49" t="s">
        <v>110</v>
      </c>
      <c r="O67" s="6"/>
    </row>
    <row r="68" spans="1:15" ht="16.5" customHeight="1">
      <c r="A68" s="165" t="s">
        <v>186</v>
      </c>
      <c r="B68" s="166"/>
      <c r="C68" s="167"/>
      <c r="D68" s="54"/>
      <c r="E68" s="45">
        <v>130</v>
      </c>
      <c r="F68" s="45">
        <v>25</v>
      </c>
      <c r="G68" s="45">
        <v>3</v>
      </c>
      <c r="H68" s="85">
        <f>E68</f>
        <v>130</v>
      </c>
      <c r="I68" s="85">
        <f>F68</f>
        <v>25</v>
      </c>
      <c r="J68" s="85">
        <f>G68</f>
        <v>3</v>
      </c>
      <c r="K68" s="85">
        <f>E68</f>
        <v>130</v>
      </c>
      <c r="L68" s="85">
        <f>F68</f>
        <v>25</v>
      </c>
      <c r="M68" s="85">
        <f>G68</f>
        <v>3</v>
      </c>
      <c r="O68" s="6"/>
    </row>
    <row r="69" spans="1:15" ht="16.5" customHeight="1">
      <c r="A69" s="165" t="s">
        <v>36</v>
      </c>
      <c r="B69" s="166"/>
      <c r="C69" s="167"/>
      <c r="D69" s="86" t="s">
        <v>4</v>
      </c>
      <c r="E69" s="8" t="s">
        <v>37</v>
      </c>
      <c r="F69" s="84"/>
      <c r="G69" s="84"/>
      <c r="H69" s="75" t="str">
        <f>E69</f>
        <v>K^ 8.8</v>
      </c>
      <c r="I69" s="84"/>
      <c r="J69" s="84"/>
      <c r="K69" s="75" t="str">
        <f>E69</f>
        <v>K^ 8.8</v>
      </c>
      <c r="L69" s="84"/>
      <c r="M69" s="84"/>
      <c r="O69" s="36"/>
    </row>
    <row r="70" spans="1:15" ht="16.5" customHeight="1">
      <c r="A70" s="161" t="s">
        <v>155</v>
      </c>
      <c r="B70" s="162"/>
      <c r="C70" s="164"/>
      <c r="D70" s="105" t="s">
        <v>111</v>
      </c>
      <c r="E70" s="48">
        <f>IF(MAX(F8,F9)&gt;50,MAX(F8,F9)-15,50)</f>
        <v>135</v>
      </c>
      <c r="F70" s="44">
        <v>20</v>
      </c>
      <c r="G70" s="84"/>
      <c r="H70" s="48">
        <f>IF(MIN(F8,F9)&gt;50,MIN(F8,F9)-15,50)</f>
        <v>85</v>
      </c>
      <c r="I70" s="85">
        <f>F70</f>
        <v>20</v>
      </c>
      <c r="J70" s="69"/>
      <c r="K70" s="48"/>
      <c r="L70" s="85"/>
      <c r="M70" s="69"/>
      <c r="O70" s="36"/>
    </row>
    <row r="71" spans="1:15" ht="16.5" customHeight="1">
      <c r="A71" s="165" t="s">
        <v>156</v>
      </c>
      <c r="B71" s="166"/>
      <c r="C71" s="167"/>
      <c r="D71" s="105" t="s">
        <v>87</v>
      </c>
      <c r="E71" s="48">
        <f>MAX(F10,F11)</f>
        <v>25</v>
      </c>
      <c r="F71" s="48">
        <f>MAX(F12,F13)</f>
        <v>37.5</v>
      </c>
      <c r="G71" s="84"/>
      <c r="H71" s="48">
        <f>MIN(F10,F11)</f>
        <v>10</v>
      </c>
      <c r="I71" s="48">
        <f>MIN(F12,F13)</f>
        <v>15</v>
      </c>
      <c r="J71" s="84"/>
      <c r="K71" s="48">
        <f>E71+H71</f>
        <v>35</v>
      </c>
      <c r="L71" s="48">
        <f>F71+I71</f>
        <v>52.5</v>
      </c>
      <c r="M71" s="84"/>
      <c r="O71" s="36"/>
    </row>
    <row r="72" spans="1:15" ht="16.5" customHeight="1">
      <c r="A72" s="143" t="s">
        <v>157</v>
      </c>
      <c r="B72" s="144"/>
      <c r="C72" s="147"/>
      <c r="D72" s="124" t="s">
        <v>88</v>
      </c>
      <c r="E72" s="44">
        <v>500</v>
      </c>
      <c r="F72" s="44">
        <v>640</v>
      </c>
      <c r="G72" s="84"/>
      <c r="H72" s="44">
        <v>540</v>
      </c>
      <c r="I72" s="85">
        <f>F72</f>
        <v>640</v>
      </c>
      <c r="J72" s="84"/>
      <c r="K72" s="44">
        <f>MIN(E72,H72)</f>
        <v>500</v>
      </c>
      <c r="L72" s="85">
        <f>F72</f>
        <v>640</v>
      </c>
      <c r="M72" s="84"/>
      <c r="O72" s="38"/>
    </row>
    <row r="73" spans="1:15" ht="16.5" customHeight="1">
      <c r="A73" s="165" t="s">
        <v>148</v>
      </c>
      <c r="B73" s="166"/>
      <c r="C73" s="167"/>
      <c r="D73" s="105" t="s">
        <v>113</v>
      </c>
      <c r="E73" s="48">
        <f>M8-IF(E44&gt;H44,2*E51,2*H51)</f>
        <v>484</v>
      </c>
      <c r="F73" s="84"/>
      <c r="G73" s="84"/>
      <c r="H73" s="48">
        <f>M8-IF(E44&gt;H44,2*H51,2*E51)</f>
        <v>490</v>
      </c>
      <c r="I73" s="84"/>
      <c r="J73" s="84"/>
      <c r="K73" s="48"/>
      <c r="L73" s="84"/>
      <c r="M73" s="84"/>
      <c r="O73" s="36"/>
    </row>
    <row r="74" spans="1:15" ht="16.5" customHeight="1">
      <c r="A74" s="165" t="s">
        <v>187</v>
      </c>
      <c r="B74" s="166"/>
      <c r="C74" s="167"/>
      <c r="D74" s="105" t="s">
        <v>114</v>
      </c>
      <c r="E74" s="48">
        <f>M8+F68+4</f>
        <v>529</v>
      </c>
      <c r="F74" s="84"/>
      <c r="G74" s="84"/>
      <c r="H74" s="48">
        <f>M8+I68+4</f>
        <v>529</v>
      </c>
      <c r="I74" s="84"/>
      <c r="J74" s="84"/>
      <c r="K74" s="48">
        <f>M8+L68+4</f>
        <v>529</v>
      </c>
      <c r="L74" s="84"/>
      <c r="M74" s="84"/>
      <c r="O74" s="36"/>
    </row>
    <row r="75" spans="1:15" ht="16.5" customHeight="1">
      <c r="A75" s="143" t="s">
        <v>39</v>
      </c>
      <c r="B75" s="144"/>
      <c r="C75" s="150"/>
      <c r="D75" s="105" t="s">
        <v>115</v>
      </c>
      <c r="E75" s="48">
        <f>IF(E86&lt;=20,3,IF(E86&gt;=50,1,(65-(E83/(E72*E79))^0.5)/15))</f>
        <v>3</v>
      </c>
      <c r="F75" s="84"/>
      <c r="G75" s="84"/>
      <c r="H75" s="48">
        <f>IF(H86&lt;=20,3,IF(H86&gt;=50,1,(65-(H83/(H72*H79))^0.5)/15))</f>
        <v>3</v>
      </c>
      <c r="I75" s="84"/>
      <c r="J75" s="84"/>
      <c r="K75" s="48">
        <f>IF(K86&lt;=20,3,IF(K86&gt;=50,1,(65-(K83/(K72*K79))^0.5)/15))</f>
        <v>3</v>
      </c>
      <c r="L75" s="84"/>
      <c r="M75" s="84"/>
      <c r="O75" s="36"/>
    </row>
    <row r="76" spans="1:15" ht="16.5" customHeight="1">
      <c r="A76" s="158" t="s">
        <v>38</v>
      </c>
      <c r="B76" s="152"/>
      <c r="C76" s="159"/>
      <c r="D76" s="105" t="s">
        <v>116</v>
      </c>
      <c r="E76" s="44">
        <v>1.2</v>
      </c>
      <c r="F76" s="44">
        <v>1.2</v>
      </c>
      <c r="G76" s="84"/>
      <c r="H76" s="75">
        <f>E76</f>
        <v>1.2</v>
      </c>
      <c r="I76" s="85">
        <f>F76</f>
        <v>1.2</v>
      </c>
      <c r="J76" s="84"/>
      <c r="K76" s="75"/>
      <c r="L76" s="85"/>
      <c r="M76" s="84"/>
      <c r="O76" s="38"/>
    </row>
    <row r="77" spans="1:15" ht="16.5" customHeight="1">
      <c r="A77" s="165" t="s">
        <v>188</v>
      </c>
      <c r="B77" s="166"/>
      <c r="C77" s="167"/>
      <c r="D77" s="105" t="s">
        <v>117</v>
      </c>
      <c r="E77" s="97">
        <f>1.3*F68</f>
        <v>32.5</v>
      </c>
      <c r="F77" s="97">
        <f>F68</f>
        <v>25</v>
      </c>
      <c r="G77" s="84"/>
      <c r="H77" s="97">
        <f>1.3*I68</f>
        <v>32.5</v>
      </c>
      <c r="I77" s="97">
        <f>I68</f>
        <v>25</v>
      </c>
      <c r="J77" s="84"/>
      <c r="K77" s="97"/>
      <c r="L77" s="97"/>
      <c r="M77" s="84"/>
      <c r="O77" s="38"/>
    </row>
    <row r="78" spans="1:15" ht="16.5" customHeight="1">
      <c r="A78" s="165" t="s">
        <v>189</v>
      </c>
      <c r="B78" s="166"/>
      <c r="C78" s="167"/>
      <c r="D78" s="125" t="s">
        <v>118</v>
      </c>
      <c r="E78" s="77"/>
      <c r="F78" s="100"/>
      <c r="G78" s="98">
        <f>15*F68</f>
        <v>375</v>
      </c>
      <c r="H78" s="77"/>
      <c r="I78" s="100"/>
      <c r="J78" s="98">
        <f>15*I68</f>
        <v>375</v>
      </c>
      <c r="K78" s="77"/>
      <c r="L78" s="100"/>
      <c r="M78" s="76">
        <f>15*L68</f>
        <v>375</v>
      </c>
      <c r="O78" s="39"/>
    </row>
    <row r="79" spans="1:15" ht="16.5" customHeight="1">
      <c r="A79" s="165" t="s">
        <v>190</v>
      </c>
      <c r="B79" s="166"/>
      <c r="C79" s="167"/>
      <c r="D79" s="113" t="s">
        <v>119</v>
      </c>
      <c r="E79" s="101">
        <v>20</v>
      </c>
      <c r="F79" s="122" t="s">
        <v>122</v>
      </c>
      <c r="G79" s="48">
        <f>4*(INT(E74*PI()/(4*5*M93))+1)</f>
        <v>16</v>
      </c>
      <c r="H79" s="99">
        <f>E79</f>
        <v>20</v>
      </c>
      <c r="I79" s="122" t="s">
        <v>122</v>
      </c>
      <c r="J79" s="85">
        <f>G79</f>
        <v>16</v>
      </c>
      <c r="K79" s="99">
        <f>H79</f>
        <v>20</v>
      </c>
      <c r="L79" s="122" t="s">
        <v>122</v>
      </c>
      <c r="M79" s="85">
        <f>J79</f>
        <v>16</v>
      </c>
      <c r="O79" s="36"/>
    </row>
    <row r="80" spans="1:15" ht="16.5" customHeight="1">
      <c r="A80" s="143" t="s">
        <v>191</v>
      </c>
      <c r="B80" s="144"/>
      <c r="C80" s="150"/>
      <c r="D80" s="126" t="s">
        <v>120</v>
      </c>
      <c r="E80" s="7">
        <v>1.51</v>
      </c>
      <c r="F80" s="7">
        <v>1.29</v>
      </c>
      <c r="G80" s="7">
        <v>1.29</v>
      </c>
      <c r="H80" s="85">
        <f>E80</f>
        <v>1.51</v>
      </c>
      <c r="I80" s="85">
        <f>F80</f>
        <v>1.29</v>
      </c>
      <c r="J80" s="85">
        <f>G80</f>
        <v>1.29</v>
      </c>
      <c r="K80" s="85">
        <f>H80</f>
        <v>1.51</v>
      </c>
      <c r="L80" s="85">
        <f>I80</f>
        <v>1.29</v>
      </c>
      <c r="M80" s="85">
        <f>J80</f>
        <v>1.29</v>
      </c>
      <c r="O80" s="36"/>
    </row>
    <row r="81" spans="1:15" ht="16.5" customHeight="1">
      <c r="A81" s="143" t="s">
        <v>192</v>
      </c>
      <c r="B81" s="144"/>
      <c r="C81" s="150"/>
      <c r="D81" s="105" t="s">
        <v>121</v>
      </c>
      <c r="E81" s="48">
        <f>ROUND(E71*PI()*E73^2/40000,0)</f>
        <v>460</v>
      </c>
      <c r="F81" s="48">
        <f>ROUND(F71*PI()*E73^2/40000,0)</f>
        <v>690</v>
      </c>
      <c r="G81" s="84"/>
      <c r="H81" s="48">
        <f>ROUND(H71*PI()*H73^2/40000,0)</f>
        <v>189</v>
      </c>
      <c r="I81" s="48">
        <f>ROUND(I71*PI()*H73^2/40000,0)</f>
        <v>283</v>
      </c>
      <c r="J81" s="84"/>
      <c r="K81" s="48">
        <f aca="true" t="shared" si="0" ref="K81:L83">E81+H81</f>
        <v>649</v>
      </c>
      <c r="L81" s="48">
        <f t="shared" si="0"/>
        <v>973</v>
      </c>
      <c r="M81" s="84"/>
      <c r="O81" s="36"/>
    </row>
    <row r="82" spans="1:15" ht="16.5" customHeight="1">
      <c r="A82" s="143" t="s">
        <v>193</v>
      </c>
      <c r="B82" s="144"/>
      <c r="C82" s="150"/>
      <c r="D82" s="105" t="s">
        <v>123</v>
      </c>
      <c r="E82" s="48">
        <f>ROUND(E71*PI()*(E74^2-E73^2)/40000,0)</f>
        <v>90</v>
      </c>
      <c r="F82" s="48">
        <f>ROUND(F71*PI()*(E74^2-E73^2)/40000,0)</f>
        <v>134</v>
      </c>
      <c r="G82" s="84"/>
      <c r="H82" s="48">
        <f>ROUND(H71*PI()*(H74^2-H73^2)/40000,0)</f>
        <v>31</v>
      </c>
      <c r="I82" s="48">
        <f>ROUND(I71*PI()*(H74^2-H73^2)/40000,0)</f>
        <v>47</v>
      </c>
      <c r="J82" s="84"/>
      <c r="K82" s="48">
        <f t="shared" si="0"/>
        <v>121</v>
      </c>
      <c r="L82" s="48">
        <f t="shared" si="0"/>
        <v>181</v>
      </c>
      <c r="M82" s="84"/>
      <c r="O82" s="36"/>
    </row>
    <row r="83" spans="1:15" ht="16.5" customHeight="1">
      <c r="A83" s="143" t="s">
        <v>40</v>
      </c>
      <c r="B83" s="144"/>
      <c r="C83" s="150"/>
      <c r="D83" s="105" t="s">
        <v>124</v>
      </c>
      <c r="E83" s="48">
        <f>ROUND(E71*PI()*E74*E76*E77/10000,0)</f>
        <v>162</v>
      </c>
      <c r="F83" s="48">
        <f>ROUND(F71*PI()*E74*F76*F77/10000,0)</f>
        <v>187</v>
      </c>
      <c r="G83" s="84"/>
      <c r="H83" s="48">
        <f>ROUND(H71*PI()*H74*H76*H77/10000,0)</f>
        <v>65</v>
      </c>
      <c r="I83" s="48">
        <f>ROUND(I71*PI()*H74*I76*I77/10000,0)</f>
        <v>75</v>
      </c>
      <c r="J83" s="84"/>
      <c r="K83" s="48">
        <f t="shared" si="0"/>
        <v>227</v>
      </c>
      <c r="L83" s="48">
        <f t="shared" si="0"/>
        <v>262</v>
      </c>
      <c r="M83" s="84"/>
      <c r="O83" s="36"/>
    </row>
    <row r="84" spans="1:15" ht="16.5" customHeight="1">
      <c r="A84" s="143" t="s">
        <v>194</v>
      </c>
      <c r="B84" s="144"/>
      <c r="C84" s="150"/>
      <c r="D84" s="105" t="s">
        <v>125</v>
      </c>
      <c r="E84" s="48">
        <f>E81+E82+E83</f>
        <v>712</v>
      </c>
      <c r="F84" s="48">
        <f>F81+F82+F83</f>
        <v>1011</v>
      </c>
      <c r="G84" s="84"/>
      <c r="H84" s="48">
        <f>H81+H82+H83</f>
        <v>285</v>
      </c>
      <c r="I84" s="48">
        <f>I81+I82+I83</f>
        <v>405</v>
      </c>
      <c r="J84" s="84"/>
      <c r="K84" s="55">
        <f>K81+K82+K83</f>
        <v>997</v>
      </c>
      <c r="L84" s="55">
        <f>L81+L82+L83</f>
        <v>1416</v>
      </c>
      <c r="M84" s="84"/>
      <c r="O84" s="36"/>
    </row>
    <row r="85" spans="1:15" ht="16.5" customHeight="1">
      <c r="A85" s="143" t="s">
        <v>41</v>
      </c>
      <c r="B85" s="144"/>
      <c r="C85" s="150"/>
      <c r="D85" s="105" t="s">
        <v>126</v>
      </c>
      <c r="E85" s="48">
        <f>ROUND(PI()*E74*G78/1000,0)</f>
        <v>623</v>
      </c>
      <c r="F85" s="112" t="s">
        <v>127</v>
      </c>
      <c r="G85" s="48">
        <f>ROUND(IF(E85&gt;E84,0.2*E85+0.8*(E84*E85)^0.5,E85),0)</f>
        <v>623</v>
      </c>
      <c r="H85" s="48">
        <f>ROUND(PI()*H74*J78/1000,0)</f>
        <v>623</v>
      </c>
      <c r="I85" s="112" t="s">
        <v>127</v>
      </c>
      <c r="J85" s="48">
        <f>ROUND(IF(H85&gt;H84,0.2*H85+0.8*(H84*H85)^0.5,H85),0)</f>
        <v>462</v>
      </c>
      <c r="K85" s="48">
        <f>ROUND(PI()*K74*M78/1000,0)</f>
        <v>623</v>
      </c>
      <c r="L85" s="112" t="s">
        <v>127</v>
      </c>
      <c r="M85" s="55">
        <f>ROUND(IF(K85&gt;K84,0.2*K85+0.8*(K84*K85)^0.5,K85),0)</f>
        <v>623</v>
      </c>
      <c r="O85" s="36"/>
    </row>
    <row r="86" spans="1:15" ht="16.5" customHeight="1">
      <c r="A86" s="143" t="s">
        <v>195</v>
      </c>
      <c r="B86" s="144"/>
      <c r="C86" s="150"/>
      <c r="D86" s="105" t="s">
        <v>128</v>
      </c>
      <c r="E86" s="48">
        <f>E80*(E84*1000/(E72*E79))^0.5</f>
        <v>12.741393958276307</v>
      </c>
      <c r="F86" s="48">
        <f>F80*(F84*1000/(F72*E79))^0.5</f>
        <v>11.46463686461547</v>
      </c>
      <c r="G86" s="48">
        <f>G80*(G85*1000/(F72*E79))^0.5</f>
        <v>8.999714839232409</v>
      </c>
      <c r="H86" s="48">
        <f>H80*(H84*1000/(H72*H79))^0.5</f>
        <v>7.75688762040263</v>
      </c>
      <c r="I86" s="48">
        <f>I80*(I84*1000/(I72*H79))^0.5</f>
        <v>7.2562500000000005</v>
      </c>
      <c r="J86" s="48">
        <f>J80*(J85*1000/(I72*H79))^0.5</f>
        <v>7.750071572250156</v>
      </c>
      <c r="K86" s="48">
        <f>K80*(K84*1000/(K72*K79))^0.5</f>
        <v>15.077332986970871</v>
      </c>
      <c r="L86" s="48">
        <f>L80*(L84*1000/(L72*K79))^0.5</f>
        <v>13.568016159335897</v>
      </c>
      <c r="M86" s="48">
        <f>M80*(M85*1000/(L72*K79))^0.5</f>
        <v>8.999714839232409</v>
      </c>
      <c r="O86" s="36"/>
    </row>
    <row r="87" spans="1:15" ht="16.5" customHeight="1">
      <c r="A87" s="143" t="s">
        <v>196</v>
      </c>
      <c r="B87" s="144"/>
      <c r="C87" s="150"/>
      <c r="D87" s="105" t="s">
        <v>129</v>
      </c>
      <c r="E87" s="48">
        <f aca="true" t="shared" si="1" ref="E87:M87">ROUND(E86+E75,1)</f>
        <v>15.7</v>
      </c>
      <c r="F87" s="48">
        <f t="shared" si="1"/>
        <v>11.5</v>
      </c>
      <c r="G87" s="48">
        <f t="shared" si="1"/>
        <v>9</v>
      </c>
      <c r="H87" s="48">
        <f t="shared" si="1"/>
        <v>10.8</v>
      </c>
      <c r="I87" s="48">
        <f t="shared" si="1"/>
        <v>7.3</v>
      </c>
      <c r="J87" s="48">
        <f t="shared" si="1"/>
        <v>7.8</v>
      </c>
      <c r="K87" s="48">
        <f t="shared" si="1"/>
        <v>18.1</v>
      </c>
      <c r="L87" s="48">
        <f t="shared" si="1"/>
        <v>13.6</v>
      </c>
      <c r="M87" s="48">
        <f t="shared" si="1"/>
        <v>9</v>
      </c>
      <c r="O87" s="36"/>
    </row>
    <row r="88" spans="1:15" ht="16.5" customHeight="1">
      <c r="A88" s="143" t="s">
        <v>42</v>
      </c>
      <c r="B88" s="144"/>
      <c r="C88" s="150"/>
      <c r="D88" s="127" t="s">
        <v>130</v>
      </c>
      <c r="E88" s="48">
        <f>0.0045*E71*(F68*G68)^0.5</f>
        <v>0.9742785792574935</v>
      </c>
      <c r="F88" s="48">
        <f>0.0045*F71*(F68*G68)^0.5</f>
        <v>1.4614178688862403</v>
      </c>
      <c r="G88" s="69"/>
      <c r="H88" s="48">
        <f>0.0045*H71*(I68*J68)^0.5</f>
        <v>0.38971143170299744</v>
      </c>
      <c r="I88" s="48">
        <f>0.0045*I71*(I68*J68)^0.5</f>
        <v>0.584567147554496</v>
      </c>
      <c r="J88" s="69"/>
      <c r="K88" s="78"/>
      <c r="L88" s="78"/>
      <c r="M88" s="69"/>
      <c r="O88" s="39"/>
    </row>
    <row r="89" spans="1:15" ht="16.5" customHeight="1">
      <c r="A89" s="143" t="s">
        <v>43</v>
      </c>
      <c r="B89" s="144"/>
      <c r="C89" s="150"/>
      <c r="D89" s="127" t="s">
        <v>131</v>
      </c>
      <c r="E89" s="48">
        <f>E83*1000/(E74*F68*PI())</f>
        <v>3.8991456757485135</v>
      </c>
      <c r="F89" s="48">
        <f>F83*1000/(E74*F68*PI())</f>
        <v>4.5008656874380994</v>
      </c>
      <c r="G89" s="48">
        <f>G85*1000/(E74*F68*PI())</f>
        <v>14.99486269130447</v>
      </c>
      <c r="H89" s="48">
        <f>H83*1000/(H74*I68*PI())</f>
        <v>1.564472030392922</v>
      </c>
      <c r="I89" s="48">
        <f>I83*1000/(H74*I68*PI())</f>
        <v>1.8051600350687562</v>
      </c>
      <c r="J89" s="48">
        <f>J85*1000/(H74*I68*PI())</f>
        <v>11.119785816023539</v>
      </c>
      <c r="K89" s="78"/>
      <c r="L89" s="78"/>
      <c r="M89" s="48">
        <f>M85*1000/(K74*L68*PI())</f>
        <v>14.99486269130447</v>
      </c>
      <c r="O89" s="40"/>
    </row>
    <row r="90" spans="1:15" ht="16.5" customHeight="1">
      <c r="A90" s="143" t="s">
        <v>44</v>
      </c>
      <c r="B90" s="144"/>
      <c r="C90" s="150"/>
      <c r="D90" s="128" t="s">
        <v>45</v>
      </c>
      <c r="E90" s="48" t="str">
        <f>IF(AND(E89&gt;E88,E89&lt;E68),"OK","SOS")</f>
        <v>OK</v>
      </c>
      <c r="F90" s="48" t="str">
        <f>IF(AND(F89&gt;F88,F89&lt;E68),"OK","SOS")</f>
        <v>OK</v>
      </c>
      <c r="G90" s="48" t="str">
        <f>IF(AND(G89&gt;G88,G89&lt;E68),"OK","SOS")</f>
        <v>OK</v>
      </c>
      <c r="H90" s="48" t="str">
        <f>IF(AND(H89&gt;H88,H89&lt;E68),"OK","SOS")</f>
        <v>OK</v>
      </c>
      <c r="I90" s="48" t="str">
        <f>IF(AND(I89&gt;I88,I89&lt;E68),"OK","SOS")</f>
        <v>OK</v>
      </c>
      <c r="J90" s="48" t="str">
        <f>IF(AND(J89&gt;J88,J89&lt;E68),"OK","SOS")</f>
        <v>OK</v>
      </c>
      <c r="K90" s="78"/>
      <c r="L90" s="78"/>
      <c r="M90" s="48" t="str">
        <f>IF(AND(M89&gt;M88,M89&lt;E68),"OK","SOS")</f>
        <v>OK</v>
      </c>
      <c r="O90" s="41"/>
    </row>
    <row r="91" spans="1:15" ht="16.5" customHeight="1">
      <c r="A91" s="69"/>
      <c r="B91" s="69"/>
      <c r="C91" s="69"/>
      <c r="D91" s="84"/>
      <c r="E91" s="69"/>
      <c r="F91" s="69"/>
      <c r="G91" s="69"/>
      <c r="H91" s="69"/>
      <c r="I91" s="69"/>
      <c r="J91" s="69"/>
      <c r="K91" s="69"/>
      <c r="L91" s="69"/>
      <c r="M91" s="84"/>
      <c r="O91" s="37"/>
    </row>
    <row r="92" spans="1:15" ht="16.5" customHeight="1">
      <c r="A92" s="143" t="s">
        <v>46</v>
      </c>
      <c r="B92" s="144"/>
      <c r="C92" s="150"/>
      <c r="D92" s="105" t="s">
        <v>126</v>
      </c>
      <c r="E92" s="48">
        <f>MAX(G85,J85,M85)/E79</f>
        <v>31.15</v>
      </c>
      <c r="F92" s="69"/>
      <c r="G92" s="143" t="s">
        <v>58</v>
      </c>
      <c r="H92" s="65"/>
      <c r="I92" s="87">
        <f>E74*PI()/E79</f>
        <v>83.09512568745002</v>
      </c>
      <c r="J92" s="87">
        <f>M94*1.8</f>
        <v>64.8</v>
      </c>
      <c r="K92" s="143" t="s">
        <v>197</v>
      </c>
      <c r="L92" s="65"/>
      <c r="M92" s="7">
        <v>39.55</v>
      </c>
      <c r="O92" s="37"/>
    </row>
    <row r="93" spans="1:13" ht="16.5" customHeight="1">
      <c r="A93" s="143" t="s">
        <v>47</v>
      </c>
      <c r="B93" s="144"/>
      <c r="C93" s="150"/>
      <c r="D93" s="134" t="s">
        <v>48</v>
      </c>
      <c r="E93" s="7">
        <v>24</v>
      </c>
      <c r="F93" s="133" t="s">
        <v>0</v>
      </c>
      <c r="G93" s="4">
        <v>3</v>
      </c>
      <c r="H93" s="112" t="s">
        <v>129</v>
      </c>
      <c r="I93" s="7">
        <v>20.752</v>
      </c>
      <c r="J93" s="112" t="s">
        <v>133</v>
      </c>
      <c r="K93" s="7">
        <v>22.051</v>
      </c>
      <c r="L93" s="112" t="s">
        <v>134</v>
      </c>
      <c r="M93" s="7">
        <v>26</v>
      </c>
    </row>
    <row r="94" spans="1:13" ht="16.5" customHeight="1">
      <c r="A94" s="143" t="s">
        <v>53</v>
      </c>
      <c r="B94" s="144"/>
      <c r="C94" s="150"/>
      <c r="D94" s="88" t="s">
        <v>50</v>
      </c>
      <c r="E94" s="89">
        <f>G93*(180/PI())/(PI()*E93)</f>
        <v>2.2797266319526</v>
      </c>
      <c r="F94" s="50" t="s">
        <v>49</v>
      </c>
      <c r="G94" s="47">
        <v>60</v>
      </c>
      <c r="H94" s="50" t="s">
        <v>51</v>
      </c>
      <c r="I94" s="47">
        <v>0.15</v>
      </c>
      <c r="J94" s="50" t="s">
        <v>52</v>
      </c>
      <c r="K94" s="89">
        <f>ATAN(I94/COS(G94*PI()/360))*180/PI()</f>
        <v>9.82642981583228</v>
      </c>
      <c r="L94" s="109" t="s">
        <v>57</v>
      </c>
      <c r="M94" s="7">
        <v>36</v>
      </c>
    </row>
    <row r="95" spans="1:13" ht="16.5" customHeight="1">
      <c r="A95" s="143" t="s">
        <v>54</v>
      </c>
      <c r="B95" s="144"/>
      <c r="C95" s="150"/>
      <c r="D95" s="108" t="s">
        <v>132</v>
      </c>
      <c r="E95" s="89">
        <f>E92*(K93/2)*TAN((E94+K94)*PI()/180)</f>
        <v>73.66668367188926</v>
      </c>
      <c r="F95" s="143" t="s">
        <v>198</v>
      </c>
      <c r="G95" s="144"/>
      <c r="H95" s="150"/>
      <c r="I95" s="112" t="s">
        <v>136</v>
      </c>
      <c r="J95" s="47">
        <v>300</v>
      </c>
      <c r="K95" s="143" t="s">
        <v>55</v>
      </c>
      <c r="L95" s="118" t="s">
        <v>135</v>
      </c>
      <c r="M95" s="89">
        <f>ROUND(1.2*E95/J95,2)</f>
        <v>0.29</v>
      </c>
    </row>
    <row r="96" spans="1:13" ht="16.5" customHeight="1">
      <c r="A96" s="154" t="s">
        <v>60</v>
      </c>
      <c r="B96" s="155" t="s">
        <v>200</v>
      </c>
      <c r="C96" s="156"/>
      <c r="D96" s="175"/>
      <c r="E96" s="175"/>
      <c r="F96" s="156"/>
      <c r="G96" s="156"/>
      <c r="H96" s="156"/>
      <c r="I96" s="175"/>
      <c r="J96" s="156"/>
      <c r="K96" s="156"/>
      <c r="L96" s="156"/>
      <c r="M96" s="175"/>
    </row>
    <row r="97" spans="1:14" ht="16.5" customHeight="1">
      <c r="A97" s="175"/>
      <c r="B97" s="155" t="s">
        <v>199</v>
      </c>
      <c r="C97" s="156"/>
      <c r="D97" s="175"/>
      <c r="E97" s="175"/>
      <c r="F97" s="175"/>
      <c r="G97" s="175"/>
      <c r="H97" s="175"/>
      <c r="I97" s="175"/>
      <c r="J97" s="175"/>
      <c r="K97" s="175"/>
      <c r="L97" s="187"/>
      <c r="M97" s="155"/>
      <c r="N97" s="20"/>
    </row>
    <row r="98" spans="1:14" ht="16.5" customHeight="1">
      <c r="A98" s="62" t="s">
        <v>66</v>
      </c>
      <c r="B98" s="63"/>
      <c r="C98" s="68"/>
      <c r="D98" s="105" t="s">
        <v>133</v>
      </c>
      <c r="E98" s="85">
        <f>M8+4</f>
        <v>504</v>
      </c>
      <c r="F98" s="112" t="s">
        <v>137</v>
      </c>
      <c r="G98" s="46">
        <v>730</v>
      </c>
      <c r="H98" s="123" t="s">
        <v>138</v>
      </c>
      <c r="I98" s="85">
        <f>G99+1.2*M92</f>
        <v>631.46</v>
      </c>
      <c r="J98" s="84"/>
      <c r="K98" s="84"/>
      <c r="L98" s="90"/>
      <c r="M98" s="73"/>
      <c r="N98" s="20"/>
    </row>
    <row r="99" spans="1:14" ht="16.5" customHeight="1">
      <c r="A99" s="62" t="s">
        <v>67</v>
      </c>
      <c r="B99" s="63"/>
      <c r="C99" s="68"/>
      <c r="D99" s="105" t="s">
        <v>134</v>
      </c>
      <c r="E99" s="85">
        <f>M93</f>
        <v>26</v>
      </c>
      <c r="F99" s="112" t="s">
        <v>140</v>
      </c>
      <c r="G99" s="85">
        <f>M8+2*E100+E99+8</f>
        <v>584</v>
      </c>
      <c r="H99" s="123" t="s">
        <v>139</v>
      </c>
      <c r="I99" s="85">
        <f>M8+1.4*M92</f>
        <v>555.37</v>
      </c>
      <c r="J99" s="84"/>
      <c r="K99" s="84"/>
      <c r="L99" s="90"/>
      <c r="M99" s="73"/>
      <c r="N99" s="20"/>
    </row>
    <row r="100" spans="1:14" ht="16.5" customHeight="1">
      <c r="A100" s="62" t="s">
        <v>68</v>
      </c>
      <c r="B100" s="63"/>
      <c r="C100" s="68"/>
      <c r="D100" s="105" t="s">
        <v>63</v>
      </c>
      <c r="E100" s="85">
        <f>F68</f>
        <v>25</v>
      </c>
      <c r="F100" s="112" t="s">
        <v>141</v>
      </c>
      <c r="G100" s="85">
        <f>E74</f>
        <v>529</v>
      </c>
      <c r="H100" s="84"/>
      <c r="I100" s="84"/>
      <c r="J100" s="84"/>
      <c r="K100" s="84"/>
      <c r="L100" s="90"/>
      <c r="M100" s="73"/>
      <c r="N100" s="20"/>
    </row>
    <row r="101" spans="1:14" ht="16.5" customHeight="1">
      <c r="A101" s="84"/>
      <c r="B101" s="84"/>
      <c r="C101" s="84"/>
      <c r="D101" s="84"/>
      <c r="E101" s="93" t="s">
        <v>32</v>
      </c>
      <c r="F101" s="94" t="s">
        <v>33</v>
      </c>
      <c r="G101" s="95" t="s">
        <v>34</v>
      </c>
      <c r="H101" s="84"/>
      <c r="I101" s="84"/>
      <c r="J101" s="84"/>
      <c r="K101" s="84"/>
      <c r="L101" s="90"/>
      <c r="M101" s="73"/>
      <c r="N101" s="20"/>
    </row>
    <row r="102" spans="1:14" ht="16.5" customHeight="1">
      <c r="A102" s="84"/>
      <c r="B102" s="84"/>
      <c r="C102" s="84"/>
      <c r="D102" s="84"/>
      <c r="E102" s="112" t="s">
        <v>125</v>
      </c>
      <c r="F102" s="112" t="s">
        <v>142</v>
      </c>
      <c r="G102" s="112" t="s">
        <v>126</v>
      </c>
      <c r="H102" s="84"/>
      <c r="I102" s="73"/>
      <c r="J102" s="91"/>
      <c r="K102" s="73"/>
      <c r="L102" s="73"/>
      <c r="M102" s="92"/>
      <c r="N102" s="42"/>
    </row>
    <row r="103" spans="1:14" ht="16.5" customHeight="1">
      <c r="A103" s="143" t="s">
        <v>61</v>
      </c>
      <c r="B103" s="144"/>
      <c r="C103" s="150"/>
      <c r="D103" s="105" t="s">
        <v>71</v>
      </c>
      <c r="E103" s="48">
        <f>K84</f>
        <v>997</v>
      </c>
      <c r="F103" s="48">
        <f>L84</f>
        <v>1416</v>
      </c>
      <c r="G103" s="48">
        <f>M85</f>
        <v>623</v>
      </c>
      <c r="H103" s="84"/>
      <c r="I103" s="73"/>
      <c r="J103" s="91"/>
      <c r="K103" s="73"/>
      <c r="L103" s="73"/>
      <c r="M103" s="92"/>
      <c r="N103" s="42"/>
    </row>
    <row r="104" spans="1:14" ht="16.5" customHeight="1">
      <c r="A104" s="143" t="s">
        <v>72</v>
      </c>
      <c r="B104" s="144"/>
      <c r="C104" s="150"/>
      <c r="D104" s="108" t="s">
        <v>143</v>
      </c>
      <c r="E104" s="7">
        <v>1.5</v>
      </c>
      <c r="F104" s="7">
        <v>1.1</v>
      </c>
      <c r="G104" s="7">
        <v>1.1</v>
      </c>
      <c r="H104" s="84"/>
      <c r="I104" s="73"/>
      <c r="J104" s="91"/>
      <c r="K104" s="73"/>
      <c r="L104" s="73"/>
      <c r="M104" s="92"/>
      <c r="N104" s="42"/>
    </row>
    <row r="105" spans="1:13" ht="16.5" customHeight="1">
      <c r="A105" s="156"/>
      <c r="B105" s="155" t="s">
        <v>69</v>
      </c>
      <c r="C105" s="156"/>
      <c r="D105" s="175"/>
      <c r="E105" s="182" t="s">
        <v>182</v>
      </c>
      <c r="F105" s="147"/>
      <c r="G105" s="150"/>
      <c r="H105" s="182" t="s">
        <v>183</v>
      </c>
      <c r="I105" s="147"/>
      <c r="J105" s="150"/>
      <c r="K105" s="69"/>
      <c r="L105" s="69"/>
      <c r="M105" s="84"/>
    </row>
    <row r="106" spans="1:13" ht="16.5" customHeight="1">
      <c r="A106" s="158" t="s">
        <v>184</v>
      </c>
      <c r="B106" s="159"/>
      <c r="C106" s="160"/>
      <c r="D106" s="129" t="s">
        <v>35</v>
      </c>
      <c r="E106" s="184" t="s">
        <v>32</v>
      </c>
      <c r="F106" s="185" t="s">
        <v>33</v>
      </c>
      <c r="G106" s="188" t="s">
        <v>34</v>
      </c>
      <c r="H106" s="184" t="s">
        <v>32</v>
      </c>
      <c r="I106" s="185" t="s">
        <v>33</v>
      </c>
      <c r="J106" s="188" t="s">
        <v>34</v>
      </c>
      <c r="K106" s="69"/>
      <c r="L106" s="69"/>
      <c r="M106" s="84"/>
    </row>
    <row r="107" spans="1:13" ht="16.5" customHeight="1">
      <c r="A107" s="143" t="s">
        <v>62</v>
      </c>
      <c r="B107" s="144"/>
      <c r="C107" s="150"/>
      <c r="D107" s="130" t="s">
        <v>4</v>
      </c>
      <c r="E107" s="7" t="s">
        <v>167</v>
      </c>
      <c r="F107" s="175"/>
      <c r="G107" s="175"/>
      <c r="H107" s="7" t="s">
        <v>167</v>
      </c>
      <c r="I107" s="175"/>
      <c r="J107" s="175"/>
      <c r="K107" s="69"/>
      <c r="L107" s="69"/>
      <c r="M107" s="84"/>
    </row>
    <row r="108" spans="1:13" ht="16.5" customHeight="1">
      <c r="A108" s="161" t="s">
        <v>155</v>
      </c>
      <c r="B108" s="162"/>
      <c r="C108" s="164"/>
      <c r="D108" s="130" t="s">
        <v>5</v>
      </c>
      <c r="E108" s="48">
        <f>MAX(F8,F9)</f>
        <v>150</v>
      </c>
      <c r="F108" s="48">
        <f>F70</f>
        <v>20</v>
      </c>
      <c r="G108" s="48">
        <f>F70</f>
        <v>20</v>
      </c>
      <c r="H108" s="48">
        <f>MIN(F8,F9)</f>
        <v>100</v>
      </c>
      <c r="I108" s="48">
        <f>F70</f>
        <v>20</v>
      </c>
      <c r="J108" s="48">
        <f>F70</f>
        <v>20</v>
      </c>
      <c r="K108" s="69"/>
      <c r="L108" s="69"/>
      <c r="M108" s="84"/>
    </row>
    <row r="109" spans="1:13" ht="16.5" customHeight="1">
      <c r="A109" s="143" t="s">
        <v>157</v>
      </c>
      <c r="B109" s="144"/>
      <c r="C109" s="147"/>
      <c r="D109" s="131" t="s">
        <v>88</v>
      </c>
      <c r="E109" s="44">
        <v>240</v>
      </c>
      <c r="F109" s="44">
        <v>315</v>
      </c>
      <c r="G109" s="44">
        <v>315</v>
      </c>
      <c r="H109" s="44">
        <v>254</v>
      </c>
      <c r="I109" s="44">
        <v>315</v>
      </c>
      <c r="J109" s="44">
        <v>315</v>
      </c>
      <c r="K109" s="69"/>
      <c r="L109" s="69"/>
      <c r="M109" s="84"/>
    </row>
    <row r="110" spans="1:13" ht="16.5" customHeight="1">
      <c r="A110" s="165" t="s">
        <v>148</v>
      </c>
      <c r="B110" s="166"/>
      <c r="C110" s="167"/>
      <c r="D110" s="105" t="s">
        <v>112</v>
      </c>
      <c r="E110" s="48">
        <f>E73</f>
        <v>484</v>
      </c>
      <c r="F110" s="108" t="s">
        <v>203</v>
      </c>
      <c r="G110" s="48">
        <f>E51*IF(E109&gt;E45,E45/E109,1)</f>
        <v>5.8</v>
      </c>
      <c r="H110" s="48">
        <f>H73</f>
        <v>490</v>
      </c>
      <c r="I110" s="108" t="s">
        <v>203</v>
      </c>
      <c r="J110" s="48">
        <f>H51*IF(H109&gt;H45,H45/H109,1)</f>
        <v>3.6811023622047245</v>
      </c>
      <c r="K110" s="69"/>
      <c r="L110" s="69"/>
      <c r="M110" s="84"/>
    </row>
    <row r="111" spans="1:13" ht="16.5" customHeight="1">
      <c r="A111" s="143" t="s">
        <v>202</v>
      </c>
      <c r="B111" s="144"/>
      <c r="C111" s="150"/>
      <c r="D111" s="105" t="s">
        <v>144</v>
      </c>
      <c r="E111" s="48">
        <f>E99*G111</f>
        <v>13.416</v>
      </c>
      <c r="F111" s="108" t="s">
        <v>204</v>
      </c>
      <c r="G111" s="48">
        <f>1-0.001*E110</f>
        <v>0.516</v>
      </c>
      <c r="H111" s="48">
        <f>E99*J111</f>
        <v>13.26</v>
      </c>
      <c r="I111" s="108" t="s">
        <v>204</v>
      </c>
      <c r="J111" s="48">
        <f>1-0.001*H110</f>
        <v>0.51</v>
      </c>
      <c r="K111" s="69"/>
      <c r="L111" s="69"/>
      <c r="M111" s="84"/>
    </row>
    <row r="112" spans="1:13" ht="16.5" customHeight="1">
      <c r="A112" s="143" t="s">
        <v>201</v>
      </c>
      <c r="B112" s="144"/>
      <c r="C112" s="150"/>
      <c r="D112" s="132" t="s">
        <v>120</v>
      </c>
      <c r="E112" s="48">
        <f>(E110+G110)*G110^2</f>
        <v>16476.872</v>
      </c>
      <c r="F112" s="132" t="s">
        <v>205</v>
      </c>
      <c r="G112" s="48">
        <f>G98-E98-2*E111</f>
        <v>199.168</v>
      </c>
      <c r="H112" s="48">
        <f>(H110+J110)*J110^2</f>
        <v>6689.632985811248</v>
      </c>
      <c r="I112" s="132" t="s">
        <v>205</v>
      </c>
      <c r="J112" s="48">
        <f>G98-E98-2*H111</f>
        <v>199.48</v>
      </c>
      <c r="K112" s="69"/>
      <c r="L112" s="69"/>
      <c r="M112" s="84"/>
    </row>
    <row r="113" spans="1:13" ht="16.5" customHeight="1">
      <c r="A113" s="143" t="s">
        <v>55</v>
      </c>
      <c r="B113" s="144"/>
      <c r="C113" s="150"/>
      <c r="D113" s="108" t="s">
        <v>65</v>
      </c>
      <c r="E113" s="48">
        <f>(G99-E110-G110)/2</f>
        <v>47.1</v>
      </c>
      <c r="F113" s="48">
        <f>E113</f>
        <v>47.1</v>
      </c>
      <c r="G113" s="48">
        <f>(G99-G100)/2</f>
        <v>27.5</v>
      </c>
      <c r="H113" s="48">
        <f>(G99-H110-J110)/2</f>
        <v>45.15944881889764</v>
      </c>
      <c r="I113" s="48">
        <f>H113</f>
        <v>45.15944881889764</v>
      </c>
      <c r="J113" s="48">
        <f>(G99-G100)/2</f>
        <v>27.5</v>
      </c>
      <c r="K113" s="69"/>
      <c r="L113" s="69"/>
      <c r="M113" s="84"/>
    </row>
    <row r="114" spans="1:13" ht="16.5" customHeight="1">
      <c r="A114" s="143" t="s">
        <v>70</v>
      </c>
      <c r="B114" s="144"/>
      <c r="C114" s="150"/>
      <c r="D114" s="132" t="s">
        <v>145</v>
      </c>
      <c r="E114" s="48">
        <f>E103*1000*E104*E113/E109</f>
        <v>293491.875</v>
      </c>
      <c r="F114" s="48">
        <f>F103*1000*F104*F113/F109</f>
        <v>232898.28571428577</v>
      </c>
      <c r="G114" s="48">
        <f>G103*1000*G104*G113/G109</f>
        <v>59827.77777777778</v>
      </c>
      <c r="H114" s="48">
        <f>E103*1000*E104*H113/H109</f>
        <v>265889.58940417884</v>
      </c>
      <c r="I114" s="48">
        <f>F103*1000*F104*I113/I109</f>
        <v>223302.72215973007</v>
      </c>
      <c r="J114" s="48">
        <f>G103*1000*G104*J113/J109</f>
        <v>59827.77777777778</v>
      </c>
      <c r="K114" s="69"/>
      <c r="L114" s="78"/>
      <c r="M114" s="84"/>
    </row>
    <row r="115" spans="1:13" ht="16.5" customHeight="1">
      <c r="A115" s="143" t="s">
        <v>73</v>
      </c>
      <c r="B115" s="144"/>
      <c r="C115" s="150"/>
      <c r="D115" s="108" t="s">
        <v>146</v>
      </c>
      <c r="E115" s="48">
        <f>((1.42*E114-E112)/G112)^0.5</f>
        <v>44.83044266827741</v>
      </c>
      <c r="F115" s="48">
        <f>((1.42*F114-E112)/G112)^0.5</f>
        <v>39.72098862605439</v>
      </c>
      <c r="G115" s="48">
        <f>((1.42*G114-E112)/G112)^0.5</f>
        <v>18.542469269093004</v>
      </c>
      <c r="H115" s="48">
        <f>((1.42*H114-H112)/J112)^0.5</f>
        <v>43.11846292061753</v>
      </c>
      <c r="I115" s="48">
        <f>((1.42*I114-H112)/J112)^0.5</f>
        <v>39.446760124301946</v>
      </c>
      <c r="J115" s="48">
        <f>((1.42*J114-H112)/J112)^0.5</f>
        <v>19.807805661468016</v>
      </c>
      <c r="K115" s="69"/>
      <c r="L115" s="78"/>
      <c r="M115" s="84"/>
    </row>
    <row r="116" spans="1:13" ht="16.5" customHeight="1">
      <c r="A116" s="143" t="s">
        <v>74</v>
      </c>
      <c r="B116" s="144"/>
      <c r="C116" s="150"/>
      <c r="D116" s="132" t="s">
        <v>147</v>
      </c>
      <c r="E116" s="156"/>
      <c r="F116" s="7">
        <v>45</v>
      </c>
      <c r="G116" s="156"/>
      <c r="H116" s="156"/>
      <c r="I116" s="7">
        <v>45</v>
      </c>
      <c r="J116" s="156"/>
      <c r="K116" s="69"/>
      <c r="L116" s="78"/>
      <c r="M116" s="84"/>
    </row>
    <row r="117" spans="1:12" ht="15">
      <c r="A117" s="20"/>
      <c r="B117" s="20"/>
      <c r="C117" s="20"/>
      <c r="D117" s="20"/>
      <c r="E117" s="20"/>
      <c r="F117" s="20"/>
      <c r="G117" s="20"/>
      <c r="H117" s="33"/>
      <c r="I117" s="33"/>
      <c r="J117" s="33"/>
      <c r="L117" s="34"/>
    </row>
    <row r="118" spans="1:10" ht="15">
      <c r="A118" s="20"/>
      <c r="B118" s="43"/>
      <c r="C118" s="20"/>
      <c r="D118" s="6"/>
      <c r="E118" s="42"/>
      <c r="F118" s="42"/>
      <c r="G118" s="42"/>
      <c r="H118" s="33"/>
      <c r="I118" s="33"/>
      <c r="J118" s="33"/>
    </row>
  </sheetData>
  <sheetProtection password="C784" sheet="1" objects="1" scenarios="1"/>
  <dataValidations count="55">
    <dataValidation type="list" allowBlank="1" showInputMessage="1" showErrorMessage="1" sqref="F14">
      <formula1>"REGISTAR,OMOTA^"</formula1>
    </dataValidation>
    <dataValidation allowBlank="1" showInputMessage="1" showErrorMessage="1" promptTitle="Usvojeni vijak" prompt="Minimalna vrednost M 10" sqref="E93"/>
    <dataValidation allowBlank="1" showInputMessage="1" showErrorMessage="1" promptTitle="Usvojeni broj vijaka" prompt="Mora biti deljiv sa 4 i min 4&#10;Kontrola preko osnog razmaka max. 5 dL" sqref="E79"/>
    <dataValidation allowBlank="1" showInputMessage="1" showErrorMessage="1" prompt="Ugao profila navoja" sqref="F94"/>
    <dataValidation allowBlank="1" showInputMessage="1" showErrorMessage="1" prompt="Koeficijent trenja navojnog spoja&#10;" sqref="H94"/>
    <dataValidation allowBlank="1" showInputMessage="1" showErrorMessage="1" prompt="Ugao nagiba navoja " sqref="D94"/>
    <dataValidation allowBlank="1" showInputMessage="1" showErrorMessage="1" prompt="Ugao trenja navojnog spoja&#10;" sqref="J94"/>
    <dataValidation allowBlank="1" showInputMessage="1" showErrorMessage="1" prompt="Minimalna usvojena vrednost&#10;se=2 mm" sqref="E51:E62 H51:H62"/>
    <dataValidation allowBlank="1" showInputMessage="1" showErrorMessage="1" prompt="Usvaja se veca vrednost &#10;od izracunatih" sqref="K51:K62"/>
    <dataValidation allowBlank="1" showInputMessage="1" showErrorMessage="1" prompt="Predpostavljeni spoljnji precnik prirubnica. Birati prema zeljenoj visini oboda h" sqref="G98"/>
    <dataValidation allowBlank="1" showInputMessage="1" showErrorMessage="1" prompt="Sirina zaptivaca znacajno utice na povecanje sile u vijku i debljinu prirubnica, minimalna sirina Ds/20 (mm)" sqref="F68"/>
    <dataValidation allowBlank="1" showInputMessage="1" showErrorMessage="1" prompt="Minimalni osni razmak za radni prostor kljuca" sqref="J92"/>
    <dataValidation allowBlank="1" showInputMessage="1" showErrorMessage="1" prompt="Elementi geometrije aparata" sqref="K10:M10 M8:M12"/>
    <dataValidation allowBlank="1" showInputMessage="1" showErrorMessage="1" prompt="Obavezni proracunski podaci" sqref="F8:F11 D12:D13"/>
    <dataValidation type="list" allowBlank="1" showInputMessage="1" showErrorMessage="1" promptTitle="Polozaj primarnog fluida" prompt="Uzeti iz menija" sqref="E14">
      <formula1>"REGISTAR,OMOTAČ"</formula1>
    </dataValidation>
    <dataValidation allowBlank="1" showInputMessage="1" showErrorMessage="1" prompt="Oblik danca GLAVE" sqref="G17"/>
    <dataValidation type="list" allowBlank="1" showInputMessage="1" showErrorMessage="1" promptTitle="Ispupcenje danca glave" prompt="Uzeti iz menija" sqref="D18">
      <formula1>"PLITKO,DUBOKO"</formula1>
    </dataValidation>
    <dataValidation allowBlank="1" showInputMessage="1" showErrorMessage="1" prompt="Oblik danca omotaca" sqref="J17 L17 E17"/>
    <dataValidation type="list" allowBlank="1" showInputMessage="1" showErrorMessage="1" promptTitle="Ispupcenje danca omotaca" prompt="Uzeti iz menija" sqref="I18">
      <formula1>"PLITKO,DUBOKO"</formula1>
    </dataValidation>
    <dataValidation allowBlank="1" showInputMessage="1" showErrorMessage="1" prompt="Materijal danca glave" sqref="E19:G19 J19:L19"/>
    <dataValidation allowBlank="1" showInputMessage="1" showErrorMessage="1" promptTitle="Dance glave" prompt="Proracunska cvrstoca pri proracunskoj temperaturi" sqref="E22:G22"/>
    <dataValidation allowBlank="1" showInputMessage="1" showErrorMessage="1" promptTitle="Dance omotaca" prompt="Proracunska cvrstoca pri proracunskoj temperaturi" sqref="J22:L22"/>
    <dataValidation allowBlank="1" showInputMessage="1" showErrorMessage="1" prompt="Za materijal torusa" sqref="E23 J23"/>
    <dataValidation allowBlank="1" showInputMessage="1" showErrorMessage="1" prompt="Ako se dance radi iz jednog dela v=1" sqref="E25:F25 J25:K25"/>
    <dataValidation allowBlank="1" showInputMessage="1" showErrorMessage="1" prompt="Prema JUS M.E2.250" sqref="E24 J24 E46 H46 K45"/>
    <dataValidation allowBlank="1" showInputMessage="1" showErrorMessage="1" promptTitle="JUS M.E2.252" prompt="Proracunski koeficijent iz dijagrama pri proveri na ulubljivanje danca" sqref="E31 J31"/>
    <dataValidation allowBlank="1" showInputMessage="1" showErrorMessage="1" promptTitle="JUS M.E2.259" prompt="Proracunski koeficijent za ravna danca" sqref="G32 L32"/>
    <dataValidation allowBlank="1" showInputMessage="1" showErrorMessage="1" prompt="Izvedena debljina zida danca" sqref="E34:G34 J34:L34"/>
    <dataValidation allowBlank="1" showInputMessage="1" showErrorMessage="1" promptTitle="JUS M.E2.252" prompt="Proracunski faktor iz dijagrama pri proveri na ulubljivanje danca" sqref="E35 J35"/>
    <dataValidation allowBlank="1" showInputMessage="1" showErrorMessage="1" prompt="Materijal omotaca" sqref="E42 H42"/>
    <dataValidation allowBlank="1" showInputMessage="1" showErrorMessage="1" promptTitle="Omotac" prompt="Proracunska cvrstoca materijala pri proracunskoj temperaturi" sqref="E45 H45"/>
    <dataValidation allowBlank="1" showInputMessage="1" showErrorMessage="1" promptTitle="Cevna ploca" prompt="Proracunska cvrstoca materijala pri proracunskoj temperaturi" sqref="K44:L44"/>
    <dataValidation allowBlank="1" showInputMessage="1" showErrorMessage="1" promptTitle="JUS M.E2.259" prompt="Proracunski koeficijent za cevne ploce" sqref="K48"/>
    <dataValidation allowBlank="1" showInputMessage="1" showErrorMessage="1" promptTitle="Pravilnik posuda pod pritiskom" prompt="Prema vrsti klasi zavara" sqref="E47 H47"/>
    <dataValidation allowBlank="1" showInputMessage="1" showErrorMessage="1" prompt="Debljina zaptivaca - usvaja se" sqref="G68"/>
    <dataValidation allowBlank="1" showInputMessage="1" showErrorMessage="1" promptTitle="JUS M.E2.257" prompt="Maksimalni pritisak na zaptivac&#10;Pritisak destrukcije zaptivaca" sqref="E68"/>
    <dataValidation allowBlank="1" showInputMessage="1" showErrorMessage="1" prompt="Temperatura okoline pri ispitivanju" sqref="F70"/>
    <dataValidation allowBlank="1" showInputMessage="1" showErrorMessage="1" promptTitle="VIJCI" prompt="Proracunska cvrstoca pri proracunskoj temperaturi" sqref="E72:F72 H72 K72"/>
    <dataValidation allowBlank="1" showInputMessage="1" showErrorMessage="1" promptTitle="JUS M.E2.257" prompt="Stepen sigurnosti zaptivanja zaptivaca" sqref="E76:F76"/>
    <dataValidation allowBlank="1" showInputMessage="1" showErrorMessage="1" promptTitle="JUS M.E2.257" prompt="Pomocna vrednost koja zavisi od stepena sigurnosti za vijke i obrade nalezucih povrsina spojnih delova" sqref="E80:G80"/>
    <dataValidation allowBlank="1" showInputMessage="1" showErrorMessage="1" prompt="Korak navoja usvojenog vijka" sqref="G93"/>
    <dataValidation allowBlank="1" showInputMessage="1" showErrorMessage="1" prompt="Srednji precnik navoja usvojenog vijka" sqref="K93"/>
    <dataValidation allowBlank="1" showInputMessage="1" showErrorMessage="1" prompt="Precnik jezgra usvojenog vijka" sqref="I93"/>
    <dataValidation allowBlank="1" showInputMessage="1" showErrorMessage="1" prompt="Precnik otvora u prirubnici za prolaz vijka" sqref="M93"/>
    <dataValidation allowBlank="1" showInputMessage="1" showErrorMessage="1" prompt="Opisani krug glave usvojenog vijka" sqref="M92"/>
    <dataValidation allowBlank="1" showInputMessage="1" showErrorMessage="1" prompt="Otvor kljuca za glavu usvojenog vijka" sqref="M94"/>
    <dataValidation allowBlank="1" showInputMessage="1" showErrorMessage="1" prompt="Ugao profila usvojenog navoja" sqref="G94"/>
    <dataValidation allowBlank="1" showInputMessage="1" showErrorMessage="1" prompt="Koeficijent trenja obradjenih spojnih povrsina naleganja" sqref="I94"/>
    <dataValidation allowBlank="1" showInputMessage="1" showErrorMessage="1" prompt="Rucna sila pritezanja radnika" sqref="J95"/>
    <dataValidation allowBlank="1" showInputMessage="1" showErrorMessage="1" promptTitle="JUS M.E2.250" prompt="Stepen sigurnosti za radno, ispitno i ugradno stanje" sqref="E104:G104"/>
    <dataValidation allowBlank="1" showInputMessage="1" showErrorMessage="1" prompt="Materijal prirubnice na strani viseg pritiska" sqref="E107"/>
    <dataValidation allowBlank="1" showInputMessage="1" showErrorMessage="1" prompt="Materijal prirubnice na strani nizeg pritiska" sqref="H107"/>
    <dataValidation allowBlank="1" showInputMessage="1" showErrorMessage="1" promptTitle="Prirubnica na visem pritisku" prompt="Proracunska cvrstoca prema proracunskoj temperaturi" sqref="E109:G109"/>
    <dataValidation allowBlank="1" showInputMessage="1" showErrorMessage="1" promptTitle="Prirubnica na nizem pritisku" prompt="Proracunska cvrstoca na proracunskoj temperaturi" sqref="H109:J109"/>
    <dataValidation allowBlank="1" showInputMessage="1" showErrorMessage="1" prompt="Usvojeno prema najvecoj proracunskoj vrednosti&#10;ILI&#10;prema debljini cevne ploce" sqref="F116 I116"/>
  </dataValidations>
  <printOptions/>
  <pageMargins left="0.75" right="0.25" top="0.7" bottom="0.3" header="0.5" footer="0.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2017-05-20T16:39:09Z</dcterms:modified>
  <cp:category>Excelova aplikacija</cp:category>
  <cp:version/>
  <cp:contentType/>
  <cp:contentStatus/>
</cp:coreProperties>
</file>