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55" yWindow="65521" windowWidth="6000" windowHeight="6135" tabRatio="812" activeTab="0"/>
  </bookViews>
  <sheets>
    <sheet name="GEOMETRIJA" sheetId="1" r:id="rId1"/>
    <sheet name="KPT" sheetId="2" r:id="rId2"/>
    <sheet name="POPRECNO" sheetId="3" r:id="rId3"/>
    <sheet name="RATING " sheetId="4" r:id="rId4"/>
    <sheet name="DESIGN " sheetId="5" r:id="rId5"/>
    <sheet name="KONDENZACIJA" sheetId="6" r:id="rId6"/>
    <sheet name="PAD PRITISKA" sheetId="7" r:id="rId7"/>
    <sheet name="KLIZANJE" sheetId="8" r:id="rId8"/>
    <sheet name="MEHANIKA" sheetId="9" r:id="rId9"/>
    <sheet name="POMOC" sheetId="10" r:id="rId10"/>
  </sheets>
  <definedNames>
    <definedName name="AKTIV">"GotovOblik 925"</definedName>
  </definedNames>
  <calcPr fullCalcOnLoad="1" iterate="1" iterateCount="100" iterateDelta="0.001"/>
</workbook>
</file>

<file path=xl/comments4.xml><?xml version="1.0" encoding="utf-8"?>
<comments xmlns="http://schemas.openxmlformats.org/spreadsheetml/2006/main">
  <authors>
    <author>mriki</author>
    <author>Rikalovic Milan</author>
  </authors>
  <commentList>
    <comment ref="J28" authorId="0">
      <text>
        <r>
          <rPr>
            <b/>
            <sz val="8"/>
            <rFont val="Tahoma"/>
            <family val="0"/>
          </rPr>
          <t>Empirijska jednacina:</t>
        </r>
        <r>
          <rPr>
            <sz val="8"/>
            <rFont val="Tahoma"/>
            <family val="0"/>
          </rPr>
          <t xml:space="preserve">
Racuna se odnos temperaturske razlike toplijeg i hladnijeg fluida
Rp=</t>
        </r>
        <r>
          <rPr>
            <sz val="8"/>
            <rFont val="Symbol"/>
            <family val="1"/>
          </rPr>
          <t>D</t>
        </r>
        <r>
          <rPr>
            <sz val="8"/>
            <rFont val="Tahoma"/>
            <family val="0"/>
          </rPr>
          <t>tp/</t>
        </r>
        <r>
          <rPr>
            <sz val="8"/>
            <rFont val="Symbol"/>
            <family val="1"/>
          </rPr>
          <t>D</t>
        </r>
        <r>
          <rPr>
            <sz val="8"/>
            <rFont val="Tahoma"/>
            <family val="0"/>
          </rPr>
          <t>ts</t>
        </r>
      </text>
    </comment>
    <comment ref="J33" authorId="0">
      <text>
        <r>
          <rPr>
            <b/>
            <sz val="8"/>
            <rFont val="Tahoma"/>
            <family val="0"/>
          </rPr>
          <t>Empirijska jednacina:</t>
        </r>
        <r>
          <rPr>
            <sz val="8"/>
            <rFont val="Tahoma"/>
            <family val="0"/>
          </rPr>
          <t xml:space="preserve">
Uzima se temperaturska razlika toplijeg fluida
</t>
        </r>
        <r>
          <rPr>
            <sz val="8"/>
            <rFont val="Symbol"/>
            <family val="1"/>
          </rPr>
          <t>D</t>
        </r>
        <r>
          <rPr>
            <sz val="8"/>
            <rFont val="Tahoma"/>
            <family val="0"/>
          </rPr>
          <t>tp</t>
        </r>
      </text>
    </comment>
    <comment ref="J34" authorId="0">
      <text>
        <r>
          <rPr>
            <b/>
            <sz val="8"/>
            <rFont val="Tahoma"/>
            <family val="0"/>
          </rPr>
          <t>Empirijska jednacina:</t>
        </r>
        <r>
          <rPr>
            <sz val="8"/>
            <rFont val="Tahoma"/>
            <family val="0"/>
          </rPr>
          <t xml:space="preserve">
Uzima se temperaturska razlika hladnijeg fluida
</t>
        </r>
        <r>
          <rPr>
            <sz val="8"/>
            <rFont val="Symbol"/>
            <family val="1"/>
          </rPr>
          <t>D</t>
        </r>
        <r>
          <rPr>
            <sz val="8"/>
            <rFont val="Tahoma"/>
            <family val="0"/>
          </rPr>
          <t>ts</t>
        </r>
      </text>
    </comment>
    <comment ref="J32" authorId="0">
      <text>
        <r>
          <rPr>
            <b/>
            <sz val="8"/>
            <rFont val="Tahoma"/>
            <family val="0"/>
          </rPr>
          <t>Empirijska jednacina:</t>
        </r>
        <r>
          <rPr>
            <sz val="8"/>
            <rFont val="Tahoma"/>
            <family val="0"/>
          </rPr>
          <t xml:space="preserve">
Videti knjigu
Jednacina (5.10)</t>
        </r>
      </text>
    </comment>
    <comment ref="J36" authorId="0">
      <text>
        <r>
          <rPr>
            <b/>
            <sz val="8"/>
            <rFont val="Tahoma"/>
            <family val="0"/>
          </rPr>
          <t>Empirijska jednacina:</t>
        </r>
        <r>
          <rPr>
            <sz val="8"/>
            <rFont val="Tahoma"/>
            <family val="0"/>
          </rPr>
          <t xml:space="preserve">
Videti knjigu
Jednacina (3.90)</t>
        </r>
      </text>
    </comment>
    <comment ref="J29" authorId="1">
      <text>
        <r>
          <rPr>
            <b/>
            <sz val="8"/>
            <rFont val="Tahoma"/>
            <family val="0"/>
          </rPr>
          <t>Empirijska jednacina:</t>
        </r>
        <r>
          <rPr>
            <sz val="8"/>
            <rFont val="Tahoma"/>
            <family val="0"/>
          </rPr>
          <t xml:space="preserve">
Uzima se toplotni ekvivalent toplijeg fluida
NTU=kA/Wp</t>
        </r>
      </text>
    </comment>
  </commentList>
</comments>
</file>

<file path=xl/comments5.xml><?xml version="1.0" encoding="utf-8"?>
<comments xmlns="http://schemas.openxmlformats.org/spreadsheetml/2006/main">
  <authors>
    <author>mriki</author>
  </authors>
  <commentList>
    <comment ref="J29" authorId="0">
      <text>
        <r>
          <rPr>
            <b/>
            <sz val="8"/>
            <rFont val="Tahoma"/>
            <family val="0"/>
          </rPr>
          <t>Empirijska jednacina:</t>
        </r>
        <r>
          <rPr>
            <sz val="8"/>
            <rFont val="Tahoma"/>
            <family val="0"/>
          </rPr>
          <t xml:space="preserve">
Racuna se odnos temperaturske razlika toplijeg i hladnijeg fluida
Rp=</t>
        </r>
        <r>
          <rPr>
            <sz val="8"/>
            <rFont val="Symbol"/>
            <family val="1"/>
          </rPr>
          <t>D</t>
        </r>
        <r>
          <rPr>
            <sz val="8"/>
            <rFont val="Tahoma"/>
            <family val="0"/>
          </rPr>
          <t>tp/</t>
        </r>
        <r>
          <rPr>
            <sz val="8"/>
            <rFont val="Symbol"/>
            <family val="1"/>
          </rPr>
          <t>D</t>
        </r>
        <r>
          <rPr>
            <sz val="8"/>
            <rFont val="Tahoma"/>
            <family val="0"/>
          </rPr>
          <t>ts</t>
        </r>
      </text>
    </comment>
    <comment ref="J35" authorId="0">
      <text>
        <r>
          <rPr>
            <b/>
            <sz val="8"/>
            <rFont val="Tahoma"/>
            <family val="0"/>
          </rPr>
          <t>Empirijska jednacina:</t>
        </r>
        <r>
          <rPr>
            <sz val="8"/>
            <rFont val="Tahoma"/>
            <family val="0"/>
          </rPr>
          <t xml:space="preserve">
ITERACIJE=J39
Za pad sistema uneti proizvoljan iznos, a zatim =J39</t>
        </r>
      </text>
    </comment>
    <comment ref="J36" authorId="0">
      <text>
        <r>
          <rPr>
            <b/>
            <sz val="8"/>
            <rFont val="Tahoma"/>
            <family val="0"/>
          </rPr>
          <t>Empirijska jednacina:</t>
        </r>
        <r>
          <rPr>
            <sz val="8"/>
            <rFont val="Tahoma"/>
            <family val="0"/>
          </rPr>
          <t xml:space="preserve">
Videti knjigu
Jednacina (5.10)</t>
        </r>
      </text>
    </comment>
    <comment ref="J39" authorId="0">
      <text>
        <r>
          <rPr>
            <b/>
            <sz val="8"/>
            <rFont val="Tahoma"/>
            <family val="0"/>
          </rPr>
          <t>Empirijska jednacina:</t>
        </r>
        <r>
          <rPr>
            <sz val="8"/>
            <rFont val="Tahoma"/>
            <family val="0"/>
          </rPr>
          <t xml:space="preserve">
Videti knjigu
Jednacina (3.90)</t>
        </r>
      </text>
    </comment>
  </commentList>
</comments>
</file>

<file path=xl/sharedStrings.xml><?xml version="1.0" encoding="utf-8"?>
<sst xmlns="http://schemas.openxmlformats.org/spreadsheetml/2006/main" count="1529" uniqueCount="1001">
  <si>
    <t>Raspored cevi i prvi otvor</t>
  </si>
  <si>
    <t>Koeficijenti za idealni snop</t>
  </si>
  <si>
    <t>Totalni korekcioni koeficijent</t>
  </si>
  <si>
    <t>Faktor uticaja laminarne popr. struje</t>
  </si>
  <si>
    <t>Idealni koeficijent prolaza toplote</t>
  </si>
  <si>
    <t>Korigovani koef. prolaza toplote</t>
  </si>
  <si>
    <t>Korekcija strujanja Ci F, obilazno</t>
  </si>
  <si>
    <t>Korekcija uticaja ulazno-izlazne zone</t>
  </si>
  <si>
    <t>Pad pritiska idealno nastr. snopa</t>
  </si>
  <si>
    <t>Srednja brzina strujanja u oknu</t>
  </si>
  <si>
    <t>Pad pritiska u oknu idealnog snopa</t>
  </si>
  <si>
    <t xml:space="preserve">Pad pritiska u oknu </t>
  </si>
  <si>
    <t>Pad pritiska ulazno-izlazne zone</t>
  </si>
  <si>
    <t xml:space="preserve">Kor. faktor ulazno-izlazne zone </t>
  </si>
  <si>
    <t>PROTOK I SVOJSTVA RADNOG FLUIDA</t>
  </si>
  <si>
    <t>broj</t>
  </si>
  <si>
    <t>Naziv fluida</t>
  </si>
  <si>
    <t>Broj cevi u redu na tetivi</t>
  </si>
  <si>
    <t>Poroznost cevnog snopa</t>
  </si>
  <si>
    <t>Nuselt laminarne struje POLHAUZEN</t>
  </si>
  <si>
    <t xml:space="preserve">Nuselt turbulentne struje </t>
  </si>
  <si>
    <t>Faktor broja nastrujanih redova cevi</t>
  </si>
  <si>
    <t>Nuseltov broj idealnog snopa</t>
  </si>
  <si>
    <t>Korekcija obilaznog strujanja, C i F</t>
  </si>
  <si>
    <t>Razlika</t>
  </si>
  <si>
    <t>STRUJANJE U KRAJNJIM (ULAZNO-IZLAZNIM) ZONAMA</t>
  </si>
  <si>
    <t>Koeficijent trenja prema Filonenku</t>
  </si>
  <si>
    <t>Pa/m</t>
  </si>
  <si>
    <r>
      <t>F</t>
    </r>
    <r>
      <rPr>
        <sz val="9"/>
        <rFont val="Arial"/>
        <family val="2"/>
      </rPr>
      <t>sr</t>
    </r>
    <r>
      <rPr>
        <sz val="10"/>
        <rFont val="Arial"/>
        <family val="0"/>
      </rPr>
      <t xml:space="preserve"> [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]</t>
    </r>
  </si>
  <si>
    <t xml:space="preserve">ZADATI PODACI O FLUIDU </t>
  </si>
  <si>
    <t>Zadato</t>
  </si>
  <si>
    <t>Usvojeno</t>
  </si>
  <si>
    <t>USVOJENO prema</t>
  </si>
  <si>
    <t>Prema</t>
  </si>
  <si>
    <t>BELL DELAWARE</t>
  </si>
  <si>
    <t>GADDIS</t>
  </si>
  <si>
    <t>Mera</t>
  </si>
  <si>
    <t>D1</t>
  </si>
  <si>
    <t>D2</t>
  </si>
  <si>
    <t>D3</t>
  </si>
  <si>
    <t>PAD PRITISKA U KOMORAMA</t>
  </si>
  <si>
    <t>Koeficijent lokalnih otpora komora</t>
  </si>
  <si>
    <t>Pad pritiska lokalnih otpora komora</t>
  </si>
  <si>
    <t>D4</t>
  </si>
  <si>
    <t>D5</t>
  </si>
  <si>
    <t>Ukupni pad pritiska u aparatu</t>
  </si>
  <si>
    <t xml:space="preserve">UKUPNI PAD PRITISKA </t>
  </si>
  <si>
    <t>Geometrijska karakteristika</t>
  </si>
  <si>
    <t>C.  ODZIV  SISTEMA</t>
  </si>
  <si>
    <t>LMTD</t>
  </si>
  <si>
    <t>istosm</t>
  </si>
  <si>
    <t>P</t>
  </si>
  <si>
    <t>unakrsno</t>
  </si>
  <si>
    <t>R</t>
  </si>
  <si>
    <t>NTU=kA/W</t>
  </si>
  <si>
    <t>suprot</t>
  </si>
  <si>
    <t>e</t>
  </si>
  <si>
    <t>E</t>
  </si>
  <si>
    <t>IZLAZ</t>
  </si>
  <si>
    <t>kA</t>
  </si>
  <si>
    <t>Ulazni podaci:</t>
  </si>
  <si>
    <t>Odziv sistema:</t>
  </si>
  <si>
    <t xml:space="preserve">Razmenjena toplotna snaga </t>
  </si>
  <si>
    <t>(Odziv sistema paralelno za osam konfiguracija)</t>
  </si>
  <si>
    <t>Podaci za projektne uslove:</t>
  </si>
  <si>
    <t>PRIMAR</t>
  </si>
  <si>
    <t>VRELA</t>
  </si>
  <si>
    <t>VODA</t>
  </si>
  <si>
    <t>SEKUND.</t>
  </si>
  <si>
    <t>TOPLA</t>
  </si>
  <si>
    <t>Temperatura fluida na ulazu (razvod)</t>
  </si>
  <si>
    <t>Temperatura fluida na izlazu (povrat)</t>
  </si>
  <si>
    <t>Srednja temperatura</t>
  </si>
  <si>
    <t>Efektivna temperaturska razlika</t>
  </si>
  <si>
    <t>Spoljnja kontrolna temperatura</t>
  </si>
  <si>
    <t xml:space="preserve">Podaci za </t>
  </si>
  <si>
    <t>Vertikalni korak</t>
  </si>
  <si>
    <t>Horizontalni korak</t>
  </si>
  <si>
    <t>Broj kolone</t>
  </si>
  <si>
    <t>Vertikalni korak sa pregradom</t>
  </si>
  <si>
    <t>Ukupan broj redova od ose</t>
  </si>
  <si>
    <t>Ukupan broj kolona od ose</t>
  </si>
  <si>
    <t>OKNO</t>
  </si>
  <si>
    <t>I =III</t>
  </si>
  <si>
    <t>I =IV</t>
  </si>
  <si>
    <t>Broj cevi</t>
  </si>
  <si>
    <t>II</t>
  </si>
  <si>
    <t>II=III</t>
  </si>
  <si>
    <t>u oknu</t>
  </si>
  <si>
    <t>Presek</t>
  </si>
  <si>
    <t>KOMORA</t>
  </si>
  <si>
    <t>n</t>
  </si>
  <si>
    <t>N1,N2,N5,N6</t>
  </si>
  <si>
    <t>N1,N2,N7,N8</t>
  </si>
  <si>
    <t>N3,N4</t>
  </si>
  <si>
    <t>N3,N4,N5,N6</t>
  </si>
  <si>
    <t>Broj pregrade Nr (nema reda cevi)</t>
  </si>
  <si>
    <t>Broj prolaza u cevnom registru</t>
  </si>
  <si>
    <t>Debljina zida cevi registra</t>
  </si>
  <si>
    <t>br.kolone</t>
  </si>
  <si>
    <t>Cu</t>
  </si>
  <si>
    <t>A</t>
  </si>
  <si>
    <t>B</t>
  </si>
  <si>
    <t>FLUID U REGISTRU</t>
  </si>
  <si>
    <t>Protok fluida</t>
  </si>
  <si>
    <t>[kg/h]</t>
  </si>
  <si>
    <t>Srednja temperatura fluida</t>
  </si>
  <si>
    <t>r</t>
  </si>
  <si>
    <r>
      <t>[</t>
    </r>
    <r>
      <rPr>
        <vertAlign val="superscript"/>
        <sz val="11"/>
        <color indexed="8"/>
        <rFont val="Arial"/>
        <family val="2"/>
      </rPr>
      <t>o</t>
    </r>
    <r>
      <rPr>
        <sz val="11"/>
        <color indexed="8"/>
        <rFont val="Arial"/>
        <family val="2"/>
      </rPr>
      <t>C]</t>
    </r>
  </si>
  <si>
    <r>
      <t>[kg/m</t>
    </r>
    <r>
      <rPr>
        <vertAlign val="superscript"/>
        <sz val="11"/>
        <color indexed="8"/>
        <rFont val="Arial"/>
        <family val="2"/>
      </rPr>
      <t>3</t>
    </r>
    <r>
      <rPr>
        <sz val="11"/>
        <color indexed="8"/>
        <rFont val="Arial"/>
        <family val="2"/>
      </rPr>
      <t>]</t>
    </r>
  </si>
  <si>
    <t>l</t>
  </si>
  <si>
    <r>
      <t>[m</t>
    </r>
    <r>
      <rPr>
        <vertAlign val="super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/s]</t>
    </r>
  </si>
  <si>
    <t>Debljina dijafragme</t>
  </si>
  <si>
    <t>C</t>
  </si>
  <si>
    <t>KONDUKCIJA I ZAPRLJANJE</t>
  </si>
  <si>
    <t>Toplotna provodlj. zida cevi</t>
  </si>
  <si>
    <t>Toplotna otpor zida cevi</t>
  </si>
  <si>
    <t>Topl.provodlj.naslaga u reg.</t>
  </si>
  <si>
    <t>Topl.provodlj.naslaga u om.</t>
  </si>
  <si>
    <t>Toplotni otpor naslaga reg.</t>
  </si>
  <si>
    <t>Debljina naslaga u registru</t>
  </si>
  <si>
    <t>Toplotni otpor naslaga om.</t>
  </si>
  <si>
    <t>Temperatura zida cevi iznutra</t>
  </si>
  <si>
    <t>TECNOST</t>
  </si>
  <si>
    <t>K</t>
  </si>
  <si>
    <t>D</t>
  </si>
  <si>
    <t>Brzina strujanja u registru</t>
  </si>
  <si>
    <t>Geometrijski faktor (4.25)</t>
  </si>
  <si>
    <t>Faktor smera fluksa (4.13),(4.24)</t>
  </si>
  <si>
    <t>Koeficijent trenja u registru (4.27)</t>
  </si>
  <si>
    <t>STRUJANJE</t>
  </si>
  <si>
    <t>Rejnoldsov broj u registru</t>
  </si>
  <si>
    <t>Pr</t>
  </si>
  <si>
    <t>d/L</t>
  </si>
  <si>
    <t>Hauzen,  (4.16)</t>
  </si>
  <si>
    <t xml:space="preserve">Vrednost Nuseltovog broja </t>
  </si>
  <si>
    <t>fluks const</t>
  </si>
  <si>
    <t>Re&lt;</t>
  </si>
  <si>
    <t>K&lt;33 i za Pr&gt;7</t>
  </si>
  <si>
    <t>Gnielinski,  (4.26)</t>
  </si>
  <si>
    <t>Hauzen,  (4.28a)</t>
  </si>
  <si>
    <t>Re&gt;</t>
  </si>
  <si>
    <t xml:space="preserve">MekAdams,  (4.29)      </t>
  </si>
  <si>
    <t>Samo za vodu</t>
  </si>
  <si>
    <t>No</t>
  </si>
  <si>
    <t xml:space="preserve">          k</t>
  </si>
  <si>
    <t>Koeficijent prolaza toplote</t>
  </si>
  <si>
    <t>Prema izboru</t>
  </si>
  <si>
    <t>Re</t>
  </si>
  <si>
    <t>Temperatura zida cevi spolja</t>
  </si>
  <si>
    <t>jed.(4.2)</t>
  </si>
  <si>
    <t>GAS</t>
  </si>
  <si>
    <t>K&lt;33 i za Pr&gt;6</t>
  </si>
  <si>
    <t>HP</t>
  </si>
  <si>
    <t>HK</t>
  </si>
  <si>
    <t>cevi</t>
  </si>
  <si>
    <t>Primar u</t>
  </si>
  <si>
    <t>RAZMENA TOPLOTE BEZ PROMENE FAZE</t>
  </si>
  <si>
    <r>
      <t>L</t>
    </r>
    <r>
      <rPr>
        <vertAlign val="superscript"/>
        <sz val="12"/>
        <rFont val="Arial"/>
        <family val="2"/>
      </rPr>
      <t>HP</t>
    </r>
  </si>
  <si>
    <t>Empirijska</t>
  </si>
  <si>
    <t>jedn.(3.93)</t>
  </si>
  <si>
    <t>RT21</t>
  </si>
  <si>
    <t>RATING</t>
  </si>
  <si>
    <t>DESIGN</t>
  </si>
  <si>
    <t>RATING   PROBLEM</t>
  </si>
  <si>
    <t>DESIGN   PROBLEM</t>
  </si>
  <si>
    <t>KONFIGURACIJE STRUJANJA</t>
  </si>
  <si>
    <t>Q[kW] Bilans</t>
  </si>
  <si>
    <t>ODZIV SISTEMA UVEK POSTOJI. ZA NEGATIVNE TOPLOTNE</t>
  </si>
  <si>
    <t>ALARM</t>
  </si>
  <si>
    <t>U cev</t>
  </si>
  <si>
    <t>Vertikalni/Horizontalni korak</t>
  </si>
  <si>
    <t>FLUID</t>
  </si>
  <si>
    <r>
      <t>r</t>
    </r>
    <r>
      <rPr>
        <sz val="10"/>
        <color indexed="8"/>
        <rFont val="Arial"/>
        <family val="0"/>
      </rPr>
      <t xml:space="preserve"> [kg/m</t>
    </r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0"/>
      </rPr>
      <t>]</t>
    </r>
  </si>
  <si>
    <t>Maseni protok fluida</t>
  </si>
  <si>
    <t>LOKACIJA FLUIDA</t>
  </si>
  <si>
    <t>Koeficijent trenja fluida u zaletnoj stazi</t>
  </si>
  <si>
    <t>Pad pritiska usled lokalnih otpora</t>
  </si>
  <si>
    <t>Koeficijent trenja fluida u cevi-oko cevi</t>
  </si>
  <si>
    <t>Pad pritiska fluida u zaletnoj stazi</t>
  </si>
  <si>
    <t>STRUJANJE u-oko CEVNOG SNOPA</t>
  </si>
  <si>
    <t>Predpostavljeni Rejnoldsov broj</t>
  </si>
  <si>
    <r>
      <t>NO</t>
    </r>
    <r>
      <rPr>
        <sz val="10"/>
        <color indexed="8"/>
        <rFont val="Arial"/>
        <family val="2"/>
      </rPr>
      <t xml:space="preserve"> [mm]</t>
    </r>
  </si>
  <si>
    <t>Rejnoldsov broj u krajnjoj zoni</t>
  </si>
  <si>
    <t xml:space="preserve">Kor. faktor obilazne struje krajnje zone </t>
  </si>
  <si>
    <t>Faktor smera prelaza toplote</t>
  </si>
  <si>
    <t>Srednja temp i temp zida</t>
  </si>
  <si>
    <t>Pad pritiska fluida u krajnjim zonama</t>
  </si>
  <si>
    <r>
      <t>F</t>
    </r>
    <r>
      <rPr>
        <sz val="12"/>
        <rFont val="Arial"/>
        <family val="2"/>
      </rPr>
      <t xml:space="preserve"> [m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>]</t>
    </r>
  </si>
  <si>
    <r>
      <t>w</t>
    </r>
    <r>
      <rPr>
        <sz val="10"/>
        <color indexed="8"/>
        <rFont val="Arial"/>
        <family val="0"/>
      </rPr>
      <t xml:space="preserve"> [m/s]</t>
    </r>
  </si>
  <si>
    <t xml:space="preserve">Broj popr. nastr. redova krajnje zone </t>
  </si>
  <si>
    <t>STRUJANJE U CEVNOM SNOPU</t>
  </si>
  <si>
    <t>Dvostruki zazor snopa i dijafragme</t>
  </si>
  <si>
    <t>Debljina dijafragme i pregrada</t>
  </si>
  <si>
    <t>Prema  GNIELINSKOM</t>
  </si>
  <si>
    <t>Prema  BELL DELAWARE</t>
  </si>
  <si>
    <t>Materijal</t>
  </si>
  <si>
    <r>
      <t>t</t>
    </r>
    <r>
      <rPr>
        <sz val="8"/>
        <color indexed="8"/>
        <rFont val="YU L Swiss"/>
        <family val="2"/>
      </rPr>
      <t>pr</t>
    </r>
    <r>
      <rPr>
        <sz val="11"/>
        <color indexed="8"/>
        <rFont val="YU L Swiss"/>
        <family val="2"/>
      </rPr>
      <t xml:space="preserve"> </t>
    </r>
    <r>
      <rPr>
        <sz val="11"/>
        <color indexed="8"/>
        <rFont val="Arial"/>
        <family val="2"/>
      </rPr>
      <t>[</t>
    </r>
    <r>
      <rPr>
        <vertAlign val="superscript"/>
        <sz val="11"/>
        <color indexed="8"/>
        <rFont val="Arial"/>
        <family val="2"/>
      </rPr>
      <t>o</t>
    </r>
    <r>
      <rPr>
        <sz val="11"/>
        <color indexed="8"/>
        <rFont val="Arial"/>
        <family val="2"/>
      </rPr>
      <t>C]</t>
    </r>
  </si>
  <si>
    <t>Prora~unska temperatura primara</t>
  </si>
  <si>
    <t>Prora~unska temperatura sekundara</t>
  </si>
  <si>
    <t>Prora~unski pritisak primara</t>
  </si>
  <si>
    <t>Prora~unski pritisak sekundara</t>
  </si>
  <si>
    <t>Ispitni pritisak primara</t>
  </si>
  <si>
    <t>Ispitni pritisak sekundara</t>
  </si>
  <si>
    <t>Primarni fluid struji kroz</t>
  </si>
  <si>
    <t>REGISTAR</t>
  </si>
  <si>
    <t>Plitko</t>
  </si>
  <si>
    <t>Materijal danca</t>
  </si>
  <si>
    <t>Stepen sigurnosti</t>
  </si>
  <si>
    <t>Dodatak odstupanja</t>
  </si>
  <si>
    <t>Dodatak na koroziju</t>
  </si>
  <si>
    <t>Faktor uticaja</t>
  </si>
  <si>
    <t>Izvedena debljina</t>
  </si>
  <si>
    <t>Pritisak ulubljivanja</t>
  </si>
  <si>
    <t>Valjanost zavar. spoja</t>
  </si>
  <si>
    <t>Oblik danca</t>
  </si>
  <si>
    <t>RAVNO</t>
  </si>
  <si>
    <t>GLAVA</t>
  </si>
  <si>
    <t>Ocena uticaja</t>
  </si>
  <si>
    <t>ulubljivanja</t>
  </si>
  <si>
    <t>TORUS</t>
  </si>
  <si>
    <t>SFERA</t>
  </si>
  <si>
    <t>Horizontalni korak ocevljenja</t>
  </si>
  <si>
    <t>Cevi registra</t>
  </si>
  <si>
    <t>RADNO</t>
  </si>
  <si>
    <t>ISPITNO</t>
  </si>
  <si>
    <t>UGRAD</t>
  </si>
  <si>
    <t>STANJE</t>
  </si>
  <si>
    <t>Materijal vijka</t>
  </si>
  <si>
    <t>K^ 8.8</t>
  </si>
  <si>
    <t>Stepen sigurnosti zaptivanja</t>
  </si>
  <si>
    <t>Konstrukcioni dodatak</t>
  </si>
  <si>
    <t>Sila pritiska zaptivanja</t>
  </si>
  <si>
    <t>Sila ugradnog stanja</t>
  </si>
  <si>
    <t>Min. pritisak zaptivanja</t>
  </si>
  <si>
    <t>Ostvareni pritisak zaptivanja</t>
  </si>
  <si>
    <t>Ocena zaptivanja</t>
  </si>
  <si>
    <t>[ - ]</t>
  </si>
  <si>
    <t>Sila pritezanja vijka</t>
  </si>
  <si>
    <t>Usvojeni vijak</t>
  </si>
  <si>
    <t>M</t>
  </si>
  <si>
    <r>
      <t>a</t>
    </r>
    <r>
      <rPr>
        <sz val="11"/>
        <color indexed="8"/>
        <rFont val="Arial"/>
        <family val="2"/>
      </rPr>
      <t xml:space="preserve"> [ </t>
    </r>
    <r>
      <rPr>
        <vertAlign val="superscript"/>
        <sz val="11"/>
        <color indexed="8"/>
        <rFont val="Arial"/>
        <family val="2"/>
      </rPr>
      <t>o</t>
    </r>
    <r>
      <rPr>
        <sz val="11"/>
        <color indexed="8"/>
        <rFont val="Arial"/>
        <family val="2"/>
      </rPr>
      <t xml:space="preserve"> ]</t>
    </r>
  </si>
  <si>
    <r>
      <t>j</t>
    </r>
    <r>
      <rPr>
        <sz val="11"/>
        <color indexed="8"/>
        <rFont val="Arial"/>
        <family val="2"/>
      </rPr>
      <t xml:space="preserve"> [ </t>
    </r>
    <r>
      <rPr>
        <vertAlign val="superscript"/>
        <sz val="11"/>
        <color indexed="8"/>
        <rFont val="Arial"/>
        <family val="2"/>
      </rPr>
      <t>o</t>
    </r>
    <r>
      <rPr>
        <sz val="11"/>
        <color indexed="8"/>
        <rFont val="Arial"/>
        <family val="2"/>
      </rPr>
      <t xml:space="preserve"> ]</t>
    </r>
  </si>
  <si>
    <r>
      <t>m</t>
    </r>
    <r>
      <rPr>
        <sz val="11"/>
        <color indexed="8"/>
        <rFont val="Arial"/>
        <family val="2"/>
      </rPr>
      <t xml:space="preserve"> [ </t>
    </r>
    <r>
      <rPr>
        <vertAlign val="superscript"/>
        <sz val="11"/>
        <color indexed="8"/>
        <rFont val="Arial"/>
        <family val="2"/>
      </rPr>
      <t>o</t>
    </r>
    <r>
      <rPr>
        <sz val="11"/>
        <color indexed="8"/>
        <rFont val="Arial"/>
        <family val="2"/>
      </rPr>
      <t xml:space="preserve"> ]</t>
    </r>
  </si>
  <si>
    <r>
      <t>r</t>
    </r>
    <r>
      <rPr>
        <sz val="11"/>
        <color indexed="8"/>
        <rFont val="Arial"/>
        <family val="2"/>
      </rPr>
      <t xml:space="preserve"> [ </t>
    </r>
    <r>
      <rPr>
        <vertAlign val="superscript"/>
        <sz val="11"/>
        <color indexed="8"/>
        <rFont val="Arial"/>
        <family val="2"/>
      </rPr>
      <t>o</t>
    </r>
    <r>
      <rPr>
        <sz val="11"/>
        <color indexed="8"/>
        <rFont val="Arial"/>
        <family val="2"/>
      </rPr>
      <t xml:space="preserve"> ]</t>
    </r>
  </si>
  <si>
    <t>Navojni profil</t>
  </si>
  <si>
    <t>Moment pritezanja vijka</t>
  </si>
  <si>
    <t>Krak sile</t>
  </si>
  <si>
    <t>Zbirno dejstvo pritiska</t>
  </si>
  <si>
    <t>OK</t>
  </si>
  <si>
    <t>Osni razmak vijaka</t>
  </si>
  <si>
    <t>D.</t>
  </si>
  <si>
    <t>E.</t>
  </si>
  <si>
    <t>Sila u vijku</t>
  </si>
  <si>
    <t>Materijal prirubnica</t>
  </si>
  <si>
    <r>
      <t>b</t>
    </r>
    <r>
      <rPr>
        <sz val="11"/>
        <color indexed="8"/>
        <rFont val="YU L Swiss"/>
        <family val="2"/>
      </rPr>
      <t xml:space="preserve"> </t>
    </r>
    <r>
      <rPr>
        <sz val="11"/>
        <color indexed="8"/>
        <rFont val="Arial"/>
        <family val="2"/>
      </rPr>
      <t>[mm]</t>
    </r>
  </si>
  <si>
    <r>
      <t>s</t>
    </r>
    <r>
      <rPr>
        <sz val="11"/>
        <color indexed="8"/>
        <rFont val="YU L Swiss"/>
        <family val="2"/>
      </rPr>
      <t xml:space="preserve"> </t>
    </r>
    <r>
      <rPr>
        <sz val="11"/>
        <color indexed="8"/>
        <rFont val="Arial"/>
        <family val="2"/>
      </rPr>
      <t>[mm]</t>
    </r>
  </si>
  <si>
    <r>
      <t>a</t>
    </r>
    <r>
      <rPr>
        <sz val="11"/>
        <color indexed="8"/>
        <rFont val="YU L Swiss"/>
        <family val="2"/>
      </rPr>
      <t xml:space="preserve"> </t>
    </r>
    <r>
      <rPr>
        <sz val="11"/>
        <color indexed="8"/>
        <rFont val="Arial"/>
        <family val="2"/>
      </rPr>
      <t>[mm]</t>
    </r>
  </si>
  <si>
    <t>Sp/unutr. pre~nik prirubnice</t>
  </si>
  <si>
    <t>Pre~nik otvora i kruga za vijke</t>
  </si>
  <si>
    <t>[irina i pre~nik zaptiva~a</t>
  </si>
  <si>
    <t>PRIRUBNICE</t>
  </si>
  <si>
    <t>Otporni moment</t>
  </si>
  <si>
    <r>
      <t>F</t>
    </r>
    <r>
      <rPr>
        <sz val="11"/>
        <color indexed="8"/>
        <rFont val="YU L Swiss"/>
        <family val="2"/>
      </rPr>
      <t xml:space="preserve"> </t>
    </r>
    <r>
      <rPr>
        <sz val="11"/>
        <color indexed="8"/>
        <rFont val="Arial"/>
        <family val="2"/>
      </rPr>
      <t>[kN]</t>
    </r>
  </si>
  <si>
    <t>Stepen sigurnosti S i S'</t>
  </si>
  <si>
    <t>Visina oboda prirubnice</t>
  </si>
  <si>
    <t>Usvojena visina oboda</t>
  </si>
  <si>
    <t>Vertikalni korak ocevljenja</t>
  </si>
  <si>
    <r>
      <t>[m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K/kW]</t>
    </r>
  </si>
  <si>
    <t>SEKUNDAR</t>
  </si>
  <si>
    <t>JESTE</t>
  </si>
  <si>
    <t xml:space="preserve">teperatura </t>
  </si>
  <si>
    <t>Zadata izlazna</t>
  </si>
  <si>
    <t>(Zadata ili linearna aproksimacija medjuvrednosti)</t>
  </si>
  <si>
    <t>b=</t>
  </si>
  <si>
    <t>c=</t>
  </si>
  <si>
    <t>d=</t>
  </si>
  <si>
    <t>Prava</t>
  </si>
  <si>
    <t>Autor</t>
  </si>
  <si>
    <t>Kontakt</t>
  </si>
  <si>
    <t>Instalacija</t>
  </si>
  <si>
    <t>Verzija</t>
  </si>
  <si>
    <t>Veza</t>
  </si>
  <si>
    <t>istog autora, SMEITS, Beograd 2002.</t>
  </si>
  <si>
    <t>v2,  jun 2002. god.</t>
  </si>
  <si>
    <t>ver.: v2, jun 2002.</t>
  </si>
  <si>
    <r>
      <t>k</t>
    </r>
    <r>
      <rPr>
        <vertAlign val="superscript"/>
        <sz val="11"/>
        <rFont val="Arial"/>
        <family val="2"/>
      </rPr>
      <t>HP</t>
    </r>
    <r>
      <rPr>
        <sz val="10"/>
        <rFont val="Arial"/>
        <family val="2"/>
      </rPr>
      <t>[kW/m</t>
    </r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2"/>
      </rPr>
      <t>K]</t>
    </r>
  </si>
  <si>
    <r>
      <t>pri</t>
    </r>
    <r>
      <rPr>
        <i/>
        <sz val="12"/>
        <color indexed="8"/>
        <rFont val="Times New Roman"/>
        <family val="1"/>
      </rPr>
      <t xml:space="preserve"> z</t>
    </r>
    <r>
      <rPr>
        <i/>
        <vertAlign val="subscript"/>
        <sz val="12"/>
        <color indexed="8"/>
        <rFont val="Times New Roman"/>
        <family val="1"/>
      </rPr>
      <t>r</t>
    </r>
    <r>
      <rPr>
        <vertAlign val="subscript"/>
        <sz val="12"/>
        <color indexed="8"/>
        <rFont val="Times New Roman"/>
        <family val="1"/>
      </rPr>
      <t>6</t>
    </r>
  </si>
  <si>
    <r>
      <t>d-d</t>
    </r>
    <r>
      <rPr>
        <i/>
        <vertAlign val="subscript"/>
        <sz val="12"/>
        <rFont val="Times New Roman"/>
        <family val="1"/>
      </rPr>
      <t>s</t>
    </r>
    <r>
      <rPr>
        <sz val="12"/>
        <rFont val="Times New Roman"/>
        <family val="1"/>
      </rPr>
      <t>/2</t>
    </r>
  </si>
  <si>
    <r>
      <t>N</t>
    </r>
    <r>
      <rPr>
        <i/>
        <vertAlign val="subscript"/>
        <sz val="12"/>
        <rFont val="Times New Roman"/>
        <family val="1"/>
      </rPr>
      <t>k</t>
    </r>
    <r>
      <rPr>
        <vertAlign val="subscript"/>
        <sz val="12"/>
        <rFont val="Times New Roman"/>
        <family val="1"/>
      </rPr>
      <t>6</t>
    </r>
    <r>
      <rPr>
        <i/>
        <sz val="12"/>
        <rFont val="Times New Roman"/>
        <family val="1"/>
      </rPr>
      <t xml:space="preserve"> </t>
    </r>
  </si>
  <si>
    <r>
      <t>N</t>
    </r>
    <r>
      <rPr>
        <i/>
        <vertAlign val="subscript"/>
        <sz val="12"/>
        <rFont val="Times New Roman"/>
        <family val="1"/>
      </rPr>
      <t>k</t>
    </r>
    <r>
      <rPr>
        <vertAlign val="subscript"/>
        <sz val="12"/>
        <rFont val="Times New Roman"/>
        <family val="1"/>
      </rPr>
      <t>8</t>
    </r>
    <r>
      <rPr>
        <i/>
        <sz val="12"/>
        <rFont val="Times New Roman"/>
        <family val="1"/>
      </rPr>
      <t xml:space="preserve"> </t>
    </r>
  </si>
  <si>
    <r>
      <t>S</t>
    </r>
    <r>
      <rPr>
        <i/>
        <sz val="12"/>
        <rFont val="Times New Roman"/>
        <family val="1"/>
      </rPr>
      <t>n</t>
    </r>
    <r>
      <rPr>
        <sz val="10"/>
        <rFont val="Times New Roman"/>
        <family val="1"/>
      </rPr>
      <t xml:space="preserve">I </t>
    </r>
    <r>
      <rPr>
        <sz val="10"/>
        <rFont val="Arial"/>
        <family val="2"/>
      </rPr>
      <t xml:space="preserve">/ </t>
    </r>
    <r>
      <rPr>
        <sz val="12"/>
        <rFont val="Symbol"/>
        <family val="1"/>
      </rPr>
      <t>S</t>
    </r>
    <r>
      <rPr>
        <i/>
        <sz val="12"/>
        <rFont val="Times New Roman"/>
        <family val="1"/>
      </rPr>
      <t>n</t>
    </r>
    <r>
      <rPr>
        <sz val="10"/>
        <rFont val="Times New Roman"/>
        <family val="1"/>
      </rPr>
      <t>II</t>
    </r>
  </si>
  <si>
    <r>
      <t>S</t>
    </r>
    <r>
      <rPr>
        <i/>
        <sz val="10"/>
        <color indexed="8"/>
        <rFont val="Arial"/>
        <family val="2"/>
      </rPr>
      <t xml:space="preserve"> </t>
    </r>
    <r>
      <rPr>
        <i/>
        <sz val="12"/>
        <color indexed="8"/>
        <rFont val="Arial"/>
        <family val="2"/>
      </rPr>
      <t>n</t>
    </r>
    <r>
      <rPr>
        <i/>
        <vertAlign val="subscript"/>
        <sz val="12"/>
        <color indexed="8"/>
        <rFont val="Arial"/>
        <family val="2"/>
      </rPr>
      <t>k</t>
    </r>
    <r>
      <rPr>
        <vertAlign val="subscript"/>
        <sz val="12"/>
        <color indexed="8"/>
        <rFont val="Arial"/>
        <family val="2"/>
      </rPr>
      <t>6</t>
    </r>
  </si>
  <si>
    <r>
      <t>S</t>
    </r>
    <r>
      <rPr>
        <i/>
        <sz val="10"/>
        <color indexed="8"/>
        <rFont val="Arial"/>
        <family val="2"/>
      </rPr>
      <t xml:space="preserve"> </t>
    </r>
    <r>
      <rPr>
        <i/>
        <sz val="12"/>
        <color indexed="8"/>
        <rFont val="Arial"/>
        <family val="2"/>
      </rPr>
      <t>n</t>
    </r>
    <r>
      <rPr>
        <i/>
        <vertAlign val="subscript"/>
        <sz val="12"/>
        <color indexed="8"/>
        <rFont val="Arial"/>
        <family val="2"/>
      </rPr>
      <t>k</t>
    </r>
    <r>
      <rPr>
        <vertAlign val="subscript"/>
        <sz val="12"/>
        <color indexed="8"/>
        <rFont val="Arial"/>
        <family val="2"/>
      </rPr>
      <t>8</t>
    </r>
  </si>
  <si>
    <r>
      <t>z=</t>
    </r>
    <r>
      <rPr>
        <sz val="12"/>
        <rFont val="Times New Roman"/>
        <family val="1"/>
      </rPr>
      <t>6</t>
    </r>
    <r>
      <rPr>
        <sz val="10"/>
        <rFont val="Arial"/>
        <family val="0"/>
      </rPr>
      <t xml:space="preserve"> prol.</t>
    </r>
  </si>
  <si>
    <r>
      <t>z=</t>
    </r>
    <r>
      <rPr>
        <sz val="12"/>
        <rFont val="Times New Roman"/>
        <family val="1"/>
      </rPr>
      <t>8</t>
    </r>
    <r>
      <rPr>
        <sz val="10"/>
        <rFont val="Arial"/>
        <family val="0"/>
      </rPr>
      <t xml:space="preserve"> prol.</t>
    </r>
  </si>
  <si>
    <r>
      <t>S</t>
    </r>
    <r>
      <rPr>
        <i/>
        <sz val="12"/>
        <rFont val="Times New Roman"/>
        <family val="1"/>
      </rPr>
      <t>n</t>
    </r>
    <r>
      <rPr>
        <i/>
        <vertAlign val="subscript"/>
        <sz val="12"/>
        <rFont val="Times New Roman"/>
        <family val="1"/>
      </rPr>
      <t>k</t>
    </r>
    <r>
      <rPr>
        <vertAlign val="subscript"/>
        <sz val="12"/>
        <rFont val="Times New Roman"/>
        <family val="1"/>
      </rPr>
      <t>2</t>
    </r>
  </si>
  <si>
    <r>
      <t>S</t>
    </r>
    <r>
      <rPr>
        <i/>
        <sz val="12"/>
        <rFont val="Times New Roman"/>
        <family val="1"/>
      </rPr>
      <t>n</t>
    </r>
    <r>
      <rPr>
        <i/>
        <vertAlign val="subscript"/>
        <sz val="12"/>
        <rFont val="Times New Roman"/>
        <family val="1"/>
      </rPr>
      <t>k</t>
    </r>
    <r>
      <rPr>
        <vertAlign val="subscript"/>
        <sz val="12"/>
        <rFont val="Times New Roman"/>
        <family val="1"/>
      </rPr>
      <t>4</t>
    </r>
  </si>
  <si>
    <r>
      <t>S</t>
    </r>
    <r>
      <rPr>
        <i/>
        <sz val="12"/>
        <rFont val="Times New Roman"/>
        <family val="1"/>
      </rPr>
      <t>n</t>
    </r>
    <r>
      <rPr>
        <i/>
        <vertAlign val="subscript"/>
        <sz val="12"/>
        <rFont val="Times New Roman"/>
        <family val="1"/>
      </rPr>
      <t>k</t>
    </r>
    <r>
      <rPr>
        <vertAlign val="subscript"/>
        <sz val="12"/>
        <rFont val="Times New Roman"/>
        <family val="1"/>
      </rPr>
      <t>6</t>
    </r>
  </si>
  <si>
    <r>
      <t>S</t>
    </r>
    <r>
      <rPr>
        <i/>
        <sz val="12"/>
        <rFont val="Times New Roman"/>
        <family val="1"/>
      </rPr>
      <t>n</t>
    </r>
    <r>
      <rPr>
        <i/>
        <vertAlign val="subscript"/>
        <sz val="12"/>
        <rFont val="Times New Roman"/>
        <family val="1"/>
      </rPr>
      <t>k</t>
    </r>
    <r>
      <rPr>
        <vertAlign val="subscript"/>
        <sz val="12"/>
        <rFont val="Times New Roman"/>
        <family val="1"/>
      </rPr>
      <t>8</t>
    </r>
  </si>
  <si>
    <r>
      <t>f</t>
    </r>
    <r>
      <rPr>
        <sz val="10"/>
        <rFont val="Times New Roman"/>
        <family val="1"/>
      </rPr>
      <t xml:space="preserve"> </t>
    </r>
    <r>
      <rPr>
        <sz val="11"/>
        <rFont val="Arial"/>
        <family val="2"/>
      </rPr>
      <t>[m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]</t>
    </r>
  </si>
  <si>
    <r>
      <t>F</t>
    </r>
    <r>
      <rPr>
        <i/>
        <sz val="12"/>
        <rFont val="Times New Roman"/>
        <family val="1"/>
      </rPr>
      <t xml:space="preserve"> D</t>
    </r>
    <r>
      <rPr>
        <i/>
        <vertAlign val="subscript"/>
        <sz val="12"/>
        <rFont val="Times New Roman"/>
        <family val="1"/>
      </rPr>
      <t>s</t>
    </r>
    <r>
      <rPr>
        <sz val="11"/>
        <rFont val="Arial"/>
        <family val="2"/>
      </rPr>
      <t>[m]</t>
    </r>
  </si>
  <si>
    <r>
      <t>k</t>
    </r>
    <r>
      <rPr>
        <i/>
        <vertAlign val="subscript"/>
        <sz val="12"/>
        <color indexed="8"/>
        <rFont val="Times New Roman"/>
        <family val="1"/>
      </rPr>
      <t>v</t>
    </r>
    <r>
      <rPr>
        <vertAlign val="subscript"/>
        <sz val="11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>[m]</t>
    </r>
  </si>
  <si>
    <r>
      <t>k</t>
    </r>
    <r>
      <rPr>
        <i/>
        <vertAlign val="subscript"/>
        <sz val="12"/>
        <color indexed="8"/>
        <rFont val="Times New Roman"/>
        <family val="1"/>
      </rPr>
      <t>v</t>
    </r>
    <r>
      <rPr>
        <vertAlign val="subscript"/>
        <sz val="12"/>
        <color indexed="8"/>
        <rFont val="Times New Roman"/>
        <family val="1"/>
      </rPr>
      <t>1</t>
    </r>
    <r>
      <rPr>
        <sz val="11"/>
        <color indexed="8"/>
        <rFont val="Arial"/>
        <family val="2"/>
      </rPr>
      <t xml:space="preserve"> [m]</t>
    </r>
  </si>
  <si>
    <r>
      <t>k</t>
    </r>
    <r>
      <rPr>
        <i/>
        <vertAlign val="subscript"/>
        <sz val="12"/>
        <color indexed="8"/>
        <rFont val="Times New Roman"/>
        <family val="1"/>
      </rPr>
      <t>v</t>
    </r>
    <r>
      <rPr>
        <vertAlign val="subscript"/>
        <sz val="12"/>
        <color indexed="8"/>
        <rFont val="Times New Roman"/>
        <family val="1"/>
      </rPr>
      <t>0</t>
    </r>
    <r>
      <rPr>
        <sz val="11"/>
        <color indexed="8"/>
        <rFont val="Arial"/>
        <family val="2"/>
      </rPr>
      <t xml:space="preserve"> [m]</t>
    </r>
  </si>
  <si>
    <r>
      <t>k</t>
    </r>
    <r>
      <rPr>
        <i/>
        <vertAlign val="subscript"/>
        <sz val="12"/>
        <color indexed="8"/>
        <rFont val="Times New Roman"/>
        <family val="1"/>
      </rPr>
      <t>h</t>
    </r>
    <r>
      <rPr>
        <vertAlign val="subscript"/>
        <sz val="12"/>
        <color indexed="8"/>
        <rFont val="Times New Roman"/>
        <family val="1"/>
      </rPr>
      <t xml:space="preserve"> </t>
    </r>
    <r>
      <rPr>
        <sz val="11"/>
        <color indexed="8"/>
        <rFont val="Arial"/>
        <family val="2"/>
      </rPr>
      <t>[m]</t>
    </r>
  </si>
  <si>
    <r>
      <t>k</t>
    </r>
    <r>
      <rPr>
        <i/>
        <vertAlign val="subscript"/>
        <sz val="12"/>
        <color indexed="8"/>
        <rFont val="Times New Roman"/>
        <family val="1"/>
      </rPr>
      <t>h</t>
    </r>
    <r>
      <rPr>
        <vertAlign val="subscript"/>
        <sz val="12"/>
        <color indexed="8"/>
        <rFont val="Times New Roman"/>
        <family val="1"/>
      </rPr>
      <t>0</t>
    </r>
    <r>
      <rPr>
        <sz val="12"/>
        <color indexed="8"/>
        <rFont val="Times New Roman"/>
        <family val="1"/>
      </rPr>
      <t xml:space="preserve"> </t>
    </r>
    <r>
      <rPr>
        <sz val="11"/>
        <color indexed="8"/>
        <rFont val="Arial"/>
        <family val="2"/>
      </rPr>
      <t>[m]</t>
    </r>
  </si>
  <si>
    <r>
      <t>d</t>
    </r>
    <r>
      <rPr>
        <i/>
        <vertAlign val="subscript"/>
        <sz val="12"/>
        <color indexed="8"/>
        <rFont val="Times New Roman"/>
        <family val="1"/>
      </rPr>
      <t>v</t>
    </r>
    <r>
      <rPr>
        <sz val="12"/>
        <color indexed="8"/>
        <rFont val="Times New Roman"/>
        <family val="1"/>
      </rPr>
      <t xml:space="preserve"> </t>
    </r>
    <r>
      <rPr>
        <sz val="11"/>
        <color indexed="8"/>
        <rFont val="Arial"/>
        <family val="2"/>
      </rPr>
      <t>[m]</t>
    </r>
  </si>
  <si>
    <r>
      <t>d</t>
    </r>
    <r>
      <rPr>
        <i/>
        <vertAlign val="subscript"/>
        <sz val="12"/>
        <color indexed="8"/>
        <rFont val="Times New Roman"/>
        <family val="1"/>
      </rPr>
      <t>h</t>
    </r>
    <r>
      <rPr>
        <sz val="12"/>
        <color indexed="8"/>
        <rFont val="Times New Roman"/>
        <family val="1"/>
      </rPr>
      <t xml:space="preserve"> </t>
    </r>
    <r>
      <rPr>
        <sz val="11"/>
        <color indexed="8"/>
        <rFont val="Arial"/>
        <family val="2"/>
      </rPr>
      <t>[m]</t>
    </r>
  </si>
  <si>
    <r>
      <t>d</t>
    </r>
    <r>
      <rPr>
        <i/>
        <vertAlign val="subscript"/>
        <sz val="12"/>
        <color indexed="8"/>
        <rFont val="Times New Roman"/>
        <family val="1"/>
      </rPr>
      <t>d</t>
    </r>
    <r>
      <rPr>
        <sz val="12"/>
        <color indexed="8"/>
        <rFont val="Times New Roman"/>
        <family val="1"/>
      </rPr>
      <t xml:space="preserve"> </t>
    </r>
    <r>
      <rPr>
        <sz val="11"/>
        <color indexed="8"/>
        <rFont val="Arial"/>
        <family val="2"/>
      </rPr>
      <t>[m]</t>
    </r>
  </si>
  <si>
    <r>
      <t>z</t>
    </r>
    <r>
      <rPr>
        <i/>
        <vertAlign val="subscript"/>
        <sz val="12"/>
        <rFont val="Times New Roman"/>
        <family val="1"/>
      </rPr>
      <t>r</t>
    </r>
    <r>
      <rPr>
        <sz val="11"/>
        <rFont val="Arial"/>
        <family val="2"/>
      </rPr>
      <t xml:space="preserve"> [ - ]</t>
    </r>
  </si>
  <si>
    <r>
      <t>z</t>
    </r>
    <r>
      <rPr>
        <i/>
        <vertAlign val="subscript"/>
        <sz val="12"/>
        <rFont val="Times New Roman"/>
        <family val="1"/>
      </rPr>
      <t>o</t>
    </r>
    <r>
      <rPr>
        <sz val="12"/>
        <rFont val="Times New Roman"/>
        <family val="1"/>
      </rPr>
      <t xml:space="preserve"> </t>
    </r>
    <r>
      <rPr>
        <sz val="11"/>
        <rFont val="Arial"/>
        <family val="2"/>
      </rPr>
      <t>[ - ]</t>
    </r>
  </si>
  <si>
    <r>
      <t>n</t>
    </r>
    <r>
      <rPr>
        <sz val="12"/>
        <color indexed="8"/>
        <rFont val="Times New Roman"/>
        <family val="1"/>
      </rPr>
      <t xml:space="preserve"> </t>
    </r>
    <r>
      <rPr>
        <sz val="11"/>
        <color indexed="8"/>
        <rFont val="Arial"/>
        <family val="2"/>
      </rPr>
      <t>[kom]</t>
    </r>
  </si>
  <si>
    <r>
      <t>pri</t>
    </r>
    <r>
      <rPr>
        <i/>
        <sz val="11"/>
        <color indexed="8"/>
        <rFont val="YU L Swiss"/>
        <family val="2"/>
      </rPr>
      <t xml:space="preserve"> </t>
    </r>
    <r>
      <rPr>
        <i/>
        <sz val="12"/>
        <color indexed="8"/>
        <rFont val="Times New Roman"/>
        <family val="1"/>
      </rPr>
      <t>z</t>
    </r>
    <r>
      <rPr>
        <i/>
        <vertAlign val="subscript"/>
        <sz val="12"/>
        <color indexed="8"/>
        <rFont val="Times New Roman"/>
        <family val="1"/>
      </rPr>
      <t>r</t>
    </r>
    <r>
      <rPr>
        <vertAlign val="subscript"/>
        <sz val="12"/>
        <color indexed="8"/>
        <rFont val="Times New Roman"/>
        <family val="1"/>
      </rPr>
      <t>8</t>
    </r>
  </si>
  <si>
    <r>
      <t>D</t>
    </r>
    <r>
      <rPr>
        <i/>
        <vertAlign val="subscript"/>
        <sz val="12"/>
        <color indexed="8"/>
        <rFont val="Times New Roman"/>
        <family val="1"/>
      </rPr>
      <t>s</t>
    </r>
    <r>
      <rPr>
        <sz val="12"/>
        <color indexed="8"/>
        <rFont val="Times New Roman"/>
        <family val="1"/>
      </rPr>
      <t xml:space="preserve"> </t>
    </r>
    <r>
      <rPr>
        <sz val="11"/>
        <color indexed="8"/>
        <rFont val="Arial"/>
        <family val="2"/>
      </rPr>
      <t>[m]</t>
    </r>
  </si>
  <si>
    <r>
      <t>s</t>
    </r>
    <r>
      <rPr>
        <i/>
        <vertAlign val="subscript"/>
        <sz val="12"/>
        <color indexed="8"/>
        <rFont val="Times New Roman"/>
        <family val="1"/>
      </rPr>
      <t>o</t>
    </r>
    <r>
      <rPr>
        <sz val="11"/>
        <color indexed="8"/>
        <rFont val="Arial"/>
        <family val="2"/>
      </rPr>
      <t xml:space="preserve"> [m]</t>
    </r>
  </si>
  <si>
    <r>
      <t>D</t>
    </r>
    <r>
      <rPr>
        <i/>
        <vertAlign val="subscript"/>
        <sz val="12"/>
        <color indexed="8"/>
        <rFont val="Times New Roman"/>
        <family val="1"/>
      </rPr>
      <t>u</t>
    </r>
    <r>
      <rPr>
        <sz val="11"/>
        <color indexed="8"/>
        <rFont val="Arial"/>
        <family val="2"/>
      </rPr>
      <t xml:space="preserve"> [m]</t>
    </r>
  </si>
  <si>
    <r>
      <t>d</t>
    </r>
    <r>
      <rPr>
        <i/>
        <vertAlign val="subscript"/>
        <sz val="12"/>
        <rFont val="Times New Roman"/>
        <family val="1"/>
      </rPr>
      <t>s</t>
    </r>
    <r>
      <rPr>
        <sz val="12"/>
        <rFont val="Times New Roman"/>
        <family val="1"/>
      </rPr>
      <t xml:space="preserve"> </t>
    </r>
    <r>
      <rPr>
        <sz val="11"/>
        <rFont val="Arial"/>
        <family val="2"/>
      </rPr>
      <t>[m]</t>
    </r>
  </si>
  <si>
    <r>
      <t>s</t>
    </r>
    <r>
      <rPr>
        <i/>
        <vertAlign val="subscript"/>
        <sz val="12"/>
        <rFont val="Times New Roman"/>
        <family val="1"/>
      </rPr>
      <t>r</t>
    </r>
    <r>
      <rPr>
        <vertAlign val="subscript"/>
        <sz val="11"/>
        <rFont val="Arial"/>
        <family val="2"/>
      </rPr>
      <t xml:space="preserve"> </t>
    </r>
    <r>
      <rPr>
        <sz val="11"/>
        <rFont val="Arial"/>
        <family val="2"/>
      </rPr>
      <t>[m]</t>
    </r>
  </si>
  <si>
    <r>
      <t>d</t>
    </r>
    <r>
      <rPr>
        <i/>
        <vertAlign val="subscript"/>
        <sz val="12"/>
        <rFont val="Times New Roman"/>
        <family val="1"/>
      </rPr>
      <t>u</t>
    </r>
    <r>
      <rPr>
        <sz val="11"/>
        <rFont val="Arial"/>
        <family val="2"/>
      </rPr>
      <t xml:space="preserve"> [m]</t>
    </r>
  </si>
  <si>
    <r>
      <t>d</t>
    </r>
    <r>
      <rPr>
        <sz val="12"/>
        <color indexed="8"/>
        <rFont val="Times New Roman"/>
        <family val="1"/>
      </rPr>
      <t xml:space="preserve"> </t>
    </r>
    <r>
      <rPr>
        <sz val="11"/>
        <color indexed="8"/>
        <rFont val="Arial"/>
        <family val="2"/>
      </rPr>
      <t>[m]</t>
    </r>
  </si>
  <si>
    <r>
      <t>r</t>
    </r>
    <r>
      <rPr>
        <i/>
        <vertAlign val="subscript"/>
        <sz val="12"/>
        <color indexed="8"/>
        <rFont val="Times New Roman"/>
        <family val="1"/>
      </rPr>
      <t>i max</t>
    </r>
    <r>
      <rPr>
        <sz val="11"/>
        <color indexed="8"/>
        <rFont val="Arial"/>
        <family val="2"/>
      </rPr>
      <t>[m]</t>
    </r>
  </si>
  <si>
    <r>
      <t>H</t>
    </r>
    <r>
      <rPr>
        <i/>
        <vertAlign val="subscript"/>
        <sz val="12"/>
        <color indexed="8"/>
        <rFont val="Times New Roman"/>
        <family val="1"/>
      </rPr>
      <t>o</t>
    </r>
    <r>
      <rPr>
        <sz val="12"/>
        <color indexed="8"/>
        <rFont val="Times New Roman"/>
        <family val="1"/>
      </rPr>
      <t xml:space="preserve"> </t>
    </r>
    <r>
      <rPr>
        <sz val="11"/>
        <color indexed="8"/>
        <rFont val="Arial"/>
        <family val="2"/>
      </rPr>
      <t>[m]</t>
    </r>
  </si>
  <si>
    <r>
      <t>y</t>
    </r>
    <r>
      <rPr>
        <i/>
        <vertAlign val="subscript"/>
        <sz val="11"/>
        <rFont val="Times New Roman"/>
        <family val="1"/>
      </rPr>
      <t>k</t>
    </r>
    <r>
      <rPr>
        <i/>
        <sz val="11"/>
        <rFont val="Times New Roman"/>
        <family val="1"/>
      </rPr>
      <t xml:space="preserve"> </t>
    </r>
    <r>
      <rPr>
        <sz val="10"/>
        <rFont val="Arial"/>
        <family val="0"/>
      </rPr>
      <t>[m]</t>
    </r>
  </si>
  <si>
    <r>
      <t>n</t>
    </r>
    <r>
      <rPr>
        <i/>
        <vertAlign val="subscript"/>
        <sz val="11"/>
        <rFont val="Times New Roman"/>
        <family val="1"/>
      </rPr>
      <t>k</t>
    </r>
    <r>
      <rPr>
        <vertAlign val="subscript"/>
        <sz val="11"/>
        <rFont val="Times New Roman"/>
        <family val="1"/>
      </rPr>
      <t>2</t>
    </r>
    <r>
      <rPr>
        <sz val="10"/>
        <rFont val="Arial"/>
        <family val="0"/>
      </rPr>
      <t>[kom]</t>
    </r>
  </si>
  <si>
    <r>
      <t>n</t>
    </r>
    <r>
      <rPr>
        <i/>
        <vertAlign val="subscript"/>
        <sz val="11"/>
        <rFont val="Times New Roman"/>
        <family val="1"/>
      </rPr>
      <t>k</t>
    </r>
    <r>
      <rPr>
        <vertAlign val="subscript"/>
        <sz val="11"/>
        <rFont val="Times New Roman"/>
        <family val="1"/>
      </rPr>
      <t>4</t>
    </r>
    <r>
      <rPr>
        <sz val="10"/>
        <rFont val="Arial"/>
        <family val="0"/>
      </rPr>
      <t>[kom]</t>
    </r>
  </si>
  <si>
    <r>
      <t>n</t>
    </r>
    <r>
      <rPr>
        <i/>
        <vertAlign val="subscript"/>
        <sz val="11"/>
        <rFont val="Times New Roman"/>
        <family val="1"/>
      </rPr>
      <t>k</t>
    </r>
    <r>
      <rPr>
        <vertAlign val="subscript"/>
        <sz val="11"/>
        <rFont val="Times New Roman"/>
        <family val="1"/>
      </rPr>
      <t>6</t>
    </r>
    <r>
      <rPr>
        <sz val="10"/>
        <rFont val="Arial"/>
        <family val="0"/>
      </rPr>
      <t>[kom]</t>
    </r>
  </si>
  <si>
    <r>
      <t>n</t>
    </r>
    <r>
      <rPr>
        <i/>
        <vertAlign val="subscript"/>
        <sz val="11"/>
        <rFont val="Times New Roman"/>
        <family val="1"/>
      </rPr>
      <t>k</t>
    </r>
    <r>
      <rPr>
        <vertAlign val="subscript"/>
        <sz val="11"/>
        <rFont val="Times New Roman"/>
        <family val="1"/>
      </rPr>
      <t>8</t>
    </r>
    <r>
      <rPr>
        <sz val="10"/>
        <rFont val="Arial"/>
        <family val="0"/>
      </rPr>
      <t>[kom]</t>
    </r>
  </si>
  <si>
    <r>
      <t>II</t>
    </r>
    <r>
      <rPr>
        <sz val="10"/>
        <color indexed="8"/>
        <rFont val="Arial"/>
        <family val="2"/>
      </rPr>
      <t xml:space="preserve"> </t>
    </r>
    <r>
      <rPr>
        <i/>
        <sz val="12"/>
        <color indexed="8"/>
        <rFont val="Times New Roman"/>
        <family val="1"/>
      </rPr>
      <t>n</t>
    </r>
    <r>
      <rPr>
        <i/>
        <vertAlign val="subscript"/>
        <sz val="12"/>
        <color indexed="8"/>
        <rFont val="Times New Roman"/>
        <family val="1"/>
      </rPr>
      <t>k</t>
    </r>
    <r>
      <rPr>
        <vertAlign val="subscript"/>
        <sz val="12"/>
        <color indexed="8"/>
        <rFont val="Times New Roman"/>
        <family val="1"/>
      </rPr>
      <t>6</t>
    </r>
    <r>
      <rPr>
        <i/>
        <vertAlign val="subscript"/>
        <sz val="10"/>
        <color indexed="8"/>
        <rFont val="Arial"/>
        <family val="2"/>
      </rPr>
      <t xml:space="preserve"> </t>
    </r>
  </si>
  <si>
    <r>
      <t>II</t>
    </r>
    <r>
      <rPr>
        <sz val="10"/>
        <color indexed="8"/>
        <rFont val="Arial"/>
        <family val="2"/>
      </rPr>
      <t xml:space="preserve"> </t>
    </r>
    <r>
      <rPr>
        <i/>
        <sz val="12"/>
        <color indexed="8"/>
        <rFont val="Times New Roman"/>
        <family val="1"/>
      </rPr>
      <t>n</t>
    </r>
    <r>
      <rPr>
        <i/>
        <vertAlign val="subscript"/>
        <sz val="12"/>
        <color indexed="8"/>
        <rFont val="Times New Roman"/>
        <family val="1"/>
      </rPr>
      <t>k</t>
    </r>
    <r>
      <rPr>
        <vertAlign val="subscript"/>
        <sz val="12"/>
        <color indexed="8"/>
        <rFont val="Times New Roman"/>
        <family val="1"/>
      </rPr>
      <t>8</t>
    </r>
    <r>
      <rPr>
        <i/>
        <vertAlign val="subscript"/>
        <sz val="10"/>
        <color indexed="8"/>
        <rFont val="Arial"/>
        <family val="2"/>
      </rPr>
      <t xml:space="preserve"> </t>
    </r>
  </si>
  <si>
    <r>
      <t>r</t>
    </r>
    <r>
      <rPr>
        <i/>
        <vertAlign val="subscript"/>
        <sz val="12"/>
        <rFont val="Times New Roman"/>
        <family val="1"/>
      </rPr>
      <t>i</t>
    </r>
    <r>
      <rPr>
        <sz val="10"/>
        <rFont val="Arial"/>
        <family val="0"/>
      </rPr>
      <t>[m]</t>
    </r>
  </si>
  <si>
    <r>
      <t>n</t>
    </r>
    <r>
      <rPr>
        <i/>
        <vertAlign val="subscript"/>
        <sz val="12"/>
        <rFont val="Times New Roman"/>
        <family val="1"/>
      </rPr>
      <t>k</t>
    </r>
    <r>
      <rPr>
        <i/>
        <sz val="12"/>
        <rFont val="Times New Roman"/>
        <family val="1"/>
      </rPr>
      <t>r</t>
    </r>
    <r>
      <rPr>
        <i/>
        <vertAlign val="subscript"/>
        <sz val="12"/>
        <rFont val="Times New Roman"/>
        <family val="1"/>
      </rPr>
      <t>i</t>
    </r>
    <r>
      <rPr>
        <sz val="10"/>
        <rFont val="Arial"/>
        <family val="0"/>
      </rPr>
      <t>[m]</t>
    </r>
  </si>
  <si>
    <r>
      <t>n</t>
    </r>
    <r>
      <rPr>
        <i/>
        <vertAlign val="subscript"/>
        <sz val="12"/>
        <rFont val="Times New Roman"/>
        <family val="1"/>
      </rPr>
      <t>ok</t>
    </r>
    <r>
      <rPr>
        <sz val="10"/>
        <rFont val="Arial"/>
        <family val="0"/>
      </rPr>
      <t>[kom]</t>
    </r>
  </si>
  <si>
    <r>
      <t>S</t>
    </r>
    <r>
      <rPr>
        <i/>
        <sz val="12"/>
        <rFont val="Times New Roman"/>
        <family val="1"/>
      </rPr>
      <t>y</t>
    </r>
    <r>
      <rPr>
        <vertAlign val="subscript"/>
        <sz val="12"/>
        <rFont val="Times New Roman"/>
        <family val="1"/>
      </rPr>
      <t>2</t>
    </r>
  </si>
  <si>
    <r>
      <t>S</t>
    </r>
    <r>
      <rPr>
        <i/>
        <sz val="12"/>
        <rFont val="Times New Roman"/>
        <family val="1"/>
      </rPr>
      <t>y</t>
    </r>
    <r>
      <rPr>
        <vertAlign val="subscript"/>
        <sz val="12"/>
        <rFont val="Times New Roman"/>
        <family val="1"/>
      </rPr>
      <t>4</t>
    </r>
  </si>
  <si>
    <r>
      <t>S</t>
    </r>
    <r>
      <rPr>
        <i/>
        <sz val="12"/>
        <rFont val="Times New Roman"/>
        <family val="1"/>
      </rPr>
      <t>y</t>
    </r>
    <r>
      <rPr>
        <vertAlign val="subscript"/>
        <sz val="12"/>
        <rFont val="Times New Roman"/>
        <family val="1"/>
      </rPr>
      <t>6</t>
    </r>
  </si>
  <si>
    <r>
      <t>S</t>
    </r>
    <r>
      <rPr>
        <i/>
        <sz val="12"/>
        <rFont val="Times New Roman"/>
        <family val="1"/>
      </rPr>
      <t>y</t>
    </r>
    <r>
      <rPr>
        <vertAlign val="subscript"/>
        <sz val="12"/>
        <rFont val="Times New Roman"/>
        <family val="1"/>
      </rPr>
      <t>8</t>
    </r>
  </si>
  <si>
    <r>
      <t>S</t>
    </r>
    <r>
      <rPr>
        <i/>
        <sz val="12"/>
        <rFont val="Times New Roman"/>
        <family val="1"/>
      </rPr>
      <t>n</t>
    </r>
    <r>
      <rPr>
        <i/>
        <vertAlign val="subscript"/>
        <sz val="12"/>
        <rFont val="Times New Roman"/>
        <family val="1"/>
      </rPr>
      <t>y</t>
    </r>
    <r>
      <rPr>
        <vertAlign val="subscript"/>
        <sz val="12"/>
        <rFont val="Times New Roman"/>
        <family val="1"/>
      </rPr>
      <t>6</t>
    </r>
  </si>
  <si>
    <r>
      <t>S</t>
    </r>
    <r>
      <rPr>
        <i/>
        <sz val="12"/>
        <rFont val="Times New Roman"/>
        <family val="1"/>
      </rPr>
      <t>n</t>
    </r>
    <r>
      <rPr>
        <i/>
        <vertAlign val="subscript"/>
        <sz val="12"/>
        <rFont val="Times New Roman"/>
        <family val="1"/>
      </rPr>
      <t>y</t>
    </r>
    <r>
      <rPr>
        <vertAlign val="subscript"/>
        <sz val="12"/>
        <rFont val="Times New Roman"/>
        <family val="1"/>
      </rPr>
      <t>8</t>
    </r>
  </si>
  <si>
    <r>
      <t>S</t>
    </r>
    <r>
      <rPr>
        <sz val="10"/>
        <rFont val="Arial"/>
        <family val="0"/>
      </rPr>
      <t xml:space="preserve"> </t>
    </r>
    <r>
      <rPr>
        <i/>
        <sz val="12"/>
        <rFont val="Times New Roman"/>
        <family val="1"/>
      </rPr>
      <t>n</t>
    </r>
    <r>
      <rPr>
        <i/>
        <vertAlign val="subscript"/>
        <sz val="12"/>
        <rFont val="Times New Roman"/>
        <family val="1"/>
      </rPr>
      <t>y</t>
    </r>
    <r>
      <rPr>
        <i/>
        <sz val="10"/>
        <rFont val="Times New Roman"/>
        <family val="1"/>
      </rPr>
      <t>r</t>
    </r>
    <r>
      <rPr>
        <i/>
        <vertAlign val="subscript"/>
        <sz val="12"/>
        <rFont val="Times New Roman"/>
        <family val="1"/>
      </rPr>
      <t>i</t>
    </r>
  </si>
  <si>
    <r>
      <t>n</t>
    </r>
    <r>
      <rPr>
        <vertAlign val="subscript"/>
        <sz val="12"/>
        <rFont val="Times New Roman"/>
        <family val="1"/>
      </rPr>
      <t>o</t>
    </r>
    <r>
      <rPr>
        <sz val="12"/>
        <rFont val="Arial"/>
        <family val="2"/>
      </rPr>
      <t>[kom]</t>
    </r>
  </si>
  <si>
    <r>
      <t>Polupresek = Broj "</t>
    </r>
    <r>
      <rPr>
        <i/>
        <sz val="10"/>
        <rFont val="Times New Roman"/>
        <family val="1"/>
      </rPr>
      <t>U</t>
    </r>
    <r>
      <rPr>
        <sz val="10"/>
        <rFont val="Arial"/>
        <family val="0"/>
      </rPr>
      <t xml:space="preserve">" cevi </t>
    </r>
    <r>
      <rPr>
        <i/>
        <sz val="12"/>
        <rFont val="Times New Roman"/>
        <family val="1"/>
      </rPr>
      <t>n</t>
    </r>
    <r>
      <rPr>
        <vertAlign val="subscript"/>
        <sz val="12"/>
        <rFont val="Times New Roman"/>
        <family val="1"/>
      </rPr>
      <t xml:space="preserve">1 </t>
    </r>
    <r>
      <rPr>
        <i/>
        <sz val="12"/>
        <rFont val="Times New Roman"/>
        <family val="1"/>
      </rPr>
      <t>= n/</t>
    </r>
    <r>
      <rPr>
        <sz val="12"/>
        <rFont val="Times New Roman"/>
        <family val="1"/>
      </rPr>
      <t>2</t>
    </r>
  </si>
  <si>
    <r>
      <t>s</t>
    </r>
    <r>
      <rPr>
        <i/>
        <vertAlign val="subscript"/>
        <sz val="12"/>
        <rFont val="Times New Roman"/>
        <family val="1"/>
      </rPr>
      <t>r</t>
    </r>
    <r>
      <rPr>
        <i/>
        <sz val="12"/>
        <rFont val="Times New Roman"/>
        <family val="1"/>
      </rPr>
      <t xml:space="preserve"> </t>
    </r>
    <r>
      <rPr>
        <sz val="12"/>
        <rFont val="Arial"/>
        <family val="2"/>
      </rPr>
      <t>[m]</t>
    </r>
  </si>
  <si>
    <r>
      <t>d</t>
    </r>
    <r>
      <rPr>
        <i/>
        <vertAlign val="subscript"/>
        <sz val="12"/>
        <color indexed="8"/>
        <rFont val="Times New Roman"/>
        <family val="1"/>
      </rPr>
      <t>dij</t>
    </r>
    <r>
      <rPr>
        <vertAlign val="subscript"/>
        <sz val="12"/>
        <color indexed="8"/>
        <rFont val="YU L Swiss"/>
        <family val="2"/>
      </rPr>
      <t xml:space="preserve"> </t>
    </r>
    <r>
      <rPr>
        <sz val="12"/>
        <color indexed="8"/>
        <rFont val="Arial"/>
        <family val="2"/>
      </rPr>
      <t>[m]</t>
    </r>
  </si>
  <si>
    <r>
      <t>F</t>
    </r>
    <r>
      <rPr>
        <i/>
        <vertAlign val="subscript"/>
        <sz val="12"/>
        <rFont val="Times New Roman"/>
        <family val="1"/>
      </rPr>
      <t>o</t>
    </r>
    <r>
      <rPr>
        <sz val="12"/>
        <rFont val="Arial"/>
        <family val="2"/>
      </rPr>
      <t>[m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>]</t>
    </r>
  </si>
  <si>
    <r>
      <t>F</t>
    </r>
    <r>
      <rPr>
        <i/>
        <vertAlign val="subscript"/>
        <sz val="12"/>
        <rFont val="Times New Roman"/>
        <family val="1"/>
      </rPr>
      <t>r</t>
    </r>
    <r>
      <rPr>
        <sz val="12"/>
        <rFont val="Arial"/>
        <family val="2"/>
      </rPr>
      <t>[m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>]</t>
    </r>
  </si>
  <si>
    <r>
      <t>d</t>
    </r>
    <r>
      <rPr>
        <i/>
        <vertAlign val="subscript"/>
        <sz val="12"/>
        <rFont val="Times New Roman"/>
        <family val="1"/>
      </rPr>
      <t>ekv</t>
    </r>
    <r>
      <rPr>
        <sz val="12"/>
        <rFont val="Arial"/>
        <family val="2"/>
      </rPr>
      <t xml:space="preserve"> [m]</t>
    </r>
  </si>
  <si>
    <r>
      <t>m</t>
    </r>
    <r>
      <rPr>
        <i/>
        <vertAlign val="subscript"/>
        <sz val="12"/>
        <rFont val="Times New Roman"/>
        <family val="1"/>
      </rPr>
      <t>r</t>
    </r>
  </si>
  <si>
    <r>
      <t>t</t>
    </r>
    <r>
      <rPr>
        <i/>
        <vertAlign val="subscript"/>
        <sz val="12"/>
        <rFont val="Times New Roman"/>
        <family val="1"/>
      </rPr>
      <t>sr</t>
    </r>
  </si>
  <si>
    <t>[kJ/(kgK)]</t>
  </si>
  <si>
    <t>[kW/(mK)]</t>
  </si>
  <si>
    <r>
      <t>c</t>
    </r>
    <r>
      <rPr>
        <i/>
        <vertAlign val="subscript"/>
        <sz val="12"/>
        <rFont val="Times New Roman"/>
        <family val="1"/>
      </rPr>
      <t>p</t>
    </r>
  </si>
  <si>
    <r>
      <t>t</t>
    </r>
    <r>
      <rPr>
        <i/>
        <vertAlign val="subscript"/>
        <sz val="12"/>
        <rFont val="Times New Roman"/>
        <family val="1"/>
      </rPr>
      <t>z r</t>
    </r>
    <r>
      <rPr>
        <sz val="10"/>
        <rFont val="Arial"/>
        <family val="0"/>
      </rPr>
      <t>[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>C]</t>
    </r>
  </si>
  <si>
    <r>
      <t>h</t>
    </r>
    <r>
      <rPr>
        <i/>
        <vertAlign val="subscript"/>
        <sz val="12"/>
        <rFont val="Arial"/>
        <family val="2"/>
      </rPr>
      <t>z</t>
    </r>
  </si>
  <si>
    <r>
      <t>t</t>
    </r>
    <r>
      <rPr>
        <i/>
        <vertAlign val="subscript"/>
        <sz val="12"/>
        <rFont val="Times New Roman"/>
        <family val="1"/>
      </rPr>
      <t>z o</t>
    </r>
    <r>
      <rPr>
        <sz val="10"/>
        <rFont val="Arial"/>
        <family val="0"/>
      </rPr>
      <t>[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>C]</t>
    </r>
  </si>
  <si>
    <r>
      <t>m</t>
    </r>
    <r>
      <rPr>
        <i/>
        <vertAlign val="subscript"/>
        <sz val="12"/>
        <rFont val="Times New Roman"/>
        <family val="1"/>
      </rPr>
      <t>o</t>
    </r>
  </si>
  <si>
    <r>
      <t>t</t>
    </r>
    <r>
      <rPr>
        <i/>
        <vertAlign val="subscript"/>
        <sz val="12"/>
        <rFont val="Times New Roman"/>
        <family val="1"/>
      </rPr>
      <t>so</t>
    </r>
  </si>
  <si>
    <r>
      <t>l</t>
    </r>
    <r>
      <rPr>
        <i/>
        <vertAlign val="subscript"/>
        <sz val="12"/>
        <color indexed="8"/>
        <rFont val="Times New Roman"/>
        <family val="1"/>
      </rPr>
      <t>zc</t>
    </r>
  </si>
  <si>
    <r>
      <t>l</t>
    </r>
    <r>
      <rPr>
        <i/>
        <vertAlign val="subscript"/>
        <sz val="12"/>
        <color indexed="8"/>
        <rFont val="Times New Roman"/>
        <family val="1"/>
      </rPr>
      <t>nr</t>
    </r>
  </si>
  <si>
    <r>
      <t>d</t>
    </r>
    <r>
      <rPr>
        <i/>
        <vertAlign val="subscript"/>
        <sz val="12"/>
        <color indexed="8"/>
        <rFont val="Times New Roman"/>
        <family val="1"/>
      </rPr>
      <t>nr</t>
    </r>
  </si>
  <si>
    <r>
      <t>R</t>
    </r>
    <r>
      <rPr>
        <i/>
        <vertAlign val="subscript"/>
        <sz val="12"/>
        <color indexed="8"/>
        <rFont val="Times New Roman"/>
        <family val="1"/>
      </rPr>
      <t>r</t>
    </r>
  </si>
  <si>
    <r>
      <t>R</t>
    </r>
    <r>
      <rPr>
        <i/>
        <vertAlign val="subscript"/>
        <sz val="12"/>
        <color indexed="8"/>
        <rFont val="Times New Roman"/>
        <family val="1"/>
      </rPr>
      <t>r usv</t>
    </r>
  </si>
  <si>
    <r>
      <t>l</t>
    </r>
    <r>
      <rPr>
        <i/>
        <vertAlign val="subscript"/>
        <sz val="12"/>
        <color indexed="8"/>
        <rFont val="Times New Roman"/>
        <family val="1"/>
      </rPr>
      <t>no</t>
    </r>
  </si>
  <si>
    <r>
      <t>d</t>
    </r>
    <r>
      <rPr>
        <i/>
        <vertAlign val="subscript"/>
        <sz val="12"/>
        <color indexed="8"/>
        <rFont val="Times New Roman"/>
        <family val="1"/>
      </rPr>
      <t>no</t>
    </r>
  </si>
  <si>
    <r>
      <t>R</t>
    </r>
    <r>
      <rPr>
        <i/>
        <vertAlign val="subscript"/>
        <sz val="12"/>
        <color indexed="8"/>
        <rFont val="Times New Roman"/>
        <family val="1"/>
      </rPr>
      <t>o</t>
    </r>
  </si>
  <si>
    <r>
      <t>R</t>
    </r>
    <r>
      <rPr>
        <i/>
        <vertAlign val="subscript"/>
        <sz val="12"/>
        <color indexed="8"/>
        <rFont val="Times New Roman"/>
        <family val="1"/>
      </rPr>
      <t>o usv</t>
    </r>
  </si>
  <si>
    <r>
      <t>R</t>
    </r>
    <r>
      <rPr>
        <i/>
        <vertAlign val="subscript"/>
        <sz val="12"/>
        <color indexed="8"/>
        <rFont val="Times New Roman"/>
        <family val="1"/>
      </rPr>
      <t>zc</t>
    </r>
  </si>
  <si>
    <r>
      <t>w</t>
    </r>
    <r>
      <rPr>
        <i/>
        <vertAlign val="subscript"/>
        <sz val="12"/>
        <rFont val="Arial"/>
        <family val="2"/>
      </rPr>
      <t>r</t>
    </r>
  </si>
  <si>
    <r>
      <t>Re</t>
    </r>
    <r>
      <rPr>
        <i/>
        <vertAlign val="subscript"/>
        <sz val="12"/>
        <rFont val="Times New Roman"/>
        <family val="1"/>
      </rPr>
      <t>r</t>
    </r>
  </si>
  <si>
    <r>
      <t>Pr</t>
    </r>
    <r>
      <rPr>
        <i/>
        <vertAlign val="subscript"/>
        <sz val="12"/>
        <rFont val="Times New Roman"/>
        <family val="1"/>
      </rPr>
      <t>r</t>
    </r>
  </si>
  <si>
    <r>
      <t>L</t>
    </r>
    <r>
      <rPr>
        <i/>
        <vertAlign val="subscript"/>
        <sz val="12"/>
        <rFont val="Times New Roman"/>
        <family val="1"/>
      </rPr>
      <t>r</t>
    </r>
  </si>
  <si>
    <t xml:space="preserve"> [m/s]</t>
  </si>
  <si>
    <t>[m]</t>
  </si>
  <si>
    <t xml:space="preserve"> [m]</t>
  </si>
  <si>
    <r>
      <t>w</t>
    </r>
    <r>
      <rPr>
        <i/>
        <vertAlign val="subscript"/>
        <sz val="12"/>
        <rFont val="Arial"/>
        <family val="2"/>
      </rPr>
      <t>o</t>
    </r>
  </si>
  <si>
    <r>
      <t>Re</t>
    </r>
    <r>
      <rPr>
        <i/>
        <vertAlign val="subscript"/>
        <sz val="12"/>
        <rFont val="Times New Roman"/>
        <family val="1"/>
      </rPr>
      <t>o</t>
    </r>
  </si>
  <si>
    <r>
      <t>Pr</t>
    </r>
    <r>
      <rPr>
        <i/>
        <vertAlign val="subscript"/>
        <sz val="12"/>
        <rFont val="Times New Roman"/>
        <family val="1"/>
      </rPr>
      <t>o</t>
    </r>
  </si>
  <si>
    <r>
      <t>L</t>
    </r>
    <r>
      <rPr>
        <i/>
        <vertAlign val="subscript"/>
        <sz val="12"/>
        <rFont val="Times New Roman"/>
        <family val="1"/>
      </rPr>
      <t>o</t>
    </r>
  </si>
  <si>
    <r>
      <t>d/L</t>
    </r>
    <r>
      <rPr>
        <sz val="12"/>
        <rFont val="Times New Roman"/>
        <family val="1"/>
      </rPr>
      <t xml:space="preserve"> </t>
    </r>
    <r>
      <rPr>
        <u val="single"/>
        <sz val="12"/>
        <rFont val="Times New Roman"/>
        <family val="1"/>
      </rPr>
      <t>&lt;</t>
    </r>
    <r>
      <rPr>
        <sz val="12"/>
        <rFont val="Times New Roman"/>
        <family val="1"/>
      </rPr>
      <t xml:space="preserve"> 1</t>
    </r>
  </si>
  <si>
    <r>
      <t>d/L</t>
    </r>
    <r>
      <rPr>
        <sz val="12"/>
        <rFont val="Times New Roman"/>
        <family val="1"/>
      </rPr>
      <t xml:space="preserve"> </t>
    </r>
    <r>
      <rPr>
        <u val="single"/>
        <sz val="12"/>
        <rFont val="Times New Roman"/>
        <family val="1"/>
      </rPr>
      <t>&lt;</t>
    </r>
    <r>
      <rPr>
        <sz val="12"/>
        <rFont val="Times New Roman"/>
        <family val="1"/>
      </rPr>
      <t xml:space="preserve"> 2</t>
    </r>
  </si>
  <si>
    <r>
      <t>t</t>
    </r>
    <r>
      <rPr>
        <i/>
        <vertAlign val="subscript"/>
        <sz val="12"/>
        <rFont val="Times New Roman"/>
        <family val="1"/>
      </rPr>
      <t>z</t>
    </r>
    <r>
      <rPr>
        <sz val="11"/>
        <rFont val="YU L Swiss"/>
        <family val="2"/>
      </rPr>
      <t>=const</t>
    </r>
  </si>
  <si>
    <r>
      <t>a</t>
    </r>
    <r>
      <rPr>
        <i/>
        <vertAlign val="subscript"/>
        <sz val="12"/>
        <rFont val="Arial"/>
        <family val="2"/>
      </rPr>
      <t>o</t>
    </r>
  </si>
  <si>
    <r>
      <t>a</t>
    </r>
    <r>
      <rPr>
        <i/>
        <vertAlign val="subscript"/>
        <sz val="12"/>
        <rFont val="Arial"/>
        <family val="2"/>
      </rPr>
      <t>r</t>
    </r>
  </si>
  <si>
    <r>
      <t>[kW/(m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K)]</t>
    </r>
  </si>
  <si>
    <t>RT42</t>
  </si>
  <si>
    <t>RT63</t>
  </si>
  <si>
    <t>RT84</t>
  </si>
  <si>
    <t>RT62</t>
  </si>
  <si>
    <r>
      <t>c</t>
    </r>
    <r>
      <rPr>
        <i/>
        <vertAlign val="subscript"/>
        <sz val="12"/>
        <rFont val="Times New Roman"/>
        <family val="1"/>
      </rPr>
      <t>p</t>
    </r>
    <r>
      <rPr>
        <sz val="10"/>
        <rFont val="Arial"/>
        <family val="2"/>
      </rPr>
      <t>[kJ/(kg K)]</t>
    </r>
  </si>
  <si>
    <r>
      <t>c</t>
    </r>
    <r>
      <rPr>
        <i/>
        <vertAlign val="subscript"/>
        <sz val="12"/>
        <rFont val="Times New Roman"/>
        <family val="1"/>
      </rPr>
      <t>s</t>
    </r>
    <r>
      <rPr>
        <sz val="10"/>
        <rFont val="Arial"/>
        <family val="2"/>
      </rPr>
      <t>[kJ/(kg K)]</t>
    </r>
  </si>
  <si>
    <r>
      <t>a</t>
    </r>
    <r>
      <rPr>
        <i/>
        <vertAlign val="subscript"/>
        <sz val="12"/>
        <rFont val="Times New Roman"/>
        <family val="1"/>
      </rPr>
      <t>o</t>
    </r>
    <r>
      <rPr>
        <i/>
        <sz val="12"/>
        <rFont val="Times New Roman"/>
        <family val="1"/>
      </rPr>
      <t>=</t>
    </r>
  </si>
  <si>
    <r>
      <t>Konfig. [</t>
    </r>
    <r>
      <rPr>
        <i/>
        <sz val="12"/>
        <rFont val="Times New Roman"/>
        <family val="1"/>
      </rPr>
      <t>a</t>
    </r>
    <r>
      <rPr>
        <sz val="11"/>
        <rFont val="Arial"/>
        <family val="2"/>
      </rPr>
      <t>]</t>
    </r>
  </si>
  <si>
    <r>
      <t>t</t>
    </r>
    <r>
      <rPr>
        <i/>
        <vertAlign val="subscript"/>
        <sz val="12"/>
        <rFont val="Times New Roman"/>
        <family val="1"/>
      </rPr>
      <t>p</t>
    </r>
    <r>
      <rPr>
        <i/>
        <sz val="12"/>
        <rFont val="Times New Roman"/>
        <family val="1"/>
      </rPr>
      <t xml:space="preserve">' </t>
    </r>
    <r>
      <rPr>
        <sz val="11"/>
        <rFont val="Arial"/>
        <family val="2"/>
      </rPr>
      <t>[</t>
    </r>
    <r>
      <rPr>
        <vertAlign val="superscript"/>
        <sz val="11"/>
        <rFont val="Arial"/>
        <family val="2"/>
      </rPr>
      <t>o</t>
    </r>
    <r>
      <rPr>
        <sz val="11"/>
        <rFont val="Arial"/>
        <family val="2"/>
      </rPr>
      <t>C]</t>
    </r>
  </si>
  <si>
    <r>
      <t>t</t>
    </r>
    <r>
      <rPr>
        <i/>
        <vertAlign val="subscript"/>
        <sz val="12"/>
        <rFont val="Times New Roman"/>
        <family val="1"/>
      </rPr>
      <t>s</t>
    </r>
    <r>
      <rPr>
        <i/>
        <sz val="12"/>
        <rFont val="Times New Roman"/>
        <family val="1"/>
      </rPr>
      <t xml:space="preserve">' </t>
    </r>
    <r>
      <rPr>
        <sz val="11"/>
        <rFont val="Arial"/>
        <family val="2"/>
      </rPr>
      <t>[</t>
    </r>
    <r>
      <rPr>
        <vertAlign val="superscript"/>
        <sz val="11"/>
        <rFont val="Arial"/>
        <family val="2"/>
      </rPr>
      <t>o</t>
    </r>
    <r>
      <rPr>
        <sz val="11"/>
        <rFont val="Arial"/>
        <family val="2"/>
      </rPr>
      <t>C]</t>
    </r>
  </si>
  <si>
    <r>
      <t>m</t>
    </r>
    <r>
      <rPr>
        <i/>
        <vertAlign val="subscript"/>
        <sz val="12"/>
        <rFont val="Times New Roman"/>
        <family val="1"/>
      </rPr>
      <t>p</t>
    </r>
    <r>
      <rPr>
        <sz val="11"/>
        <rFont val="Arial"/>
        <family val="2"/>
      </rPr>
      <t xml:space="preserve"> [kg/s]</t>
    </r>
  </si>
  <si>
    <r>
      <t>m</t>
    </r>
    <r>
      <rPr>
        <i/>
        <vertAlign val="subscript"/>
        <sz val="12"/>
        <rFont val="Times New Roman"/>
        <family val="1"/>
      </rPr>
      <t>s</t>
    </r>
    <r>
      <rPr>
        <sz val="11"/>
        <rFont val="Arial"/>
        <family val="2"/>
      </rPr>
      <t xml:space="preserve"> [kg/s]</t>
    </r>
  </si>
  <si>
    <r>
      <t>c</t>
    </r>
    <r>
      <rPr>
        <i/>
        <vertAlign val="subscript"/>
        <sz val="12"/>
        <rFont val="Times New Roman"/>
        <family val="1"/>
      </rPr>
      <t>p</t>
    </r>
    <r>
      <rPr>
        <sz val="10"/>
        <rFont val="Arial"/>
        <family val="0"/>
      </rPr>
      <t xml:space="preserve"> </t>
    </r>
    <r>
      <rPr>
        <sz val="10"/>
        <rFont val="Arial"/>
        <family val="2"/>
      </rPr>
      <t>[kJ/(kg K)]</t>
    </r>
  </si>
  <si>
    <r>
      <t>c</t>
    </r>
    <r>
      <rPr>
        <i/>
        <vertAlign val="subscript"/>
        <sz val="12"/>
        <rFont val="Times New Roman"/>
        <family val="1"/>
      </rPr>
      <t>s</t>
    </r>
    <r>
      <rPr>
        <sz val="10"/>
        <rFont val="Arial"/>
        <family val="0"/>
      </rPr>
      <t xml:space="preserve"> </t>
    </r>
    <r>
      <rPr>
        <sz val="10"/>
        <rFont val="Arial"/>
        <family val="2"/>
      </rPr>
      <t>[kJ/(kg K)]</t>
    </r>
  </si>
  <si>
    <r>
      <t>W</t>
    </r>
    <r>
      <rPr>
        <i/>
        <vertAlign val="subscript"/>
        <sz val="12"/>
        <rFont val="Times New Roman"/>
        <family val="1"/>
      </rPr>
      <t>p</t>
    </r>
    <r>
      <rPr>
        <sz val="11"/>
        <rFont val="Arial"/>
        <family val="0"/>
      </rPr>
      <t xml:space="preserve"> [kW/ K]</t>
    </r>
  </si>
  <si>
    <r>
      <t>W</t>
    </r>
    <r>
      <rPr>
        <i/>
        <vertAlign val="subscript"/>
        <sz val="12"/>
        <rFont val="Times New Roman"/>
        <family val="1"/>
      </rPr>
      <t>s</t>
    </r>
    <r>
      <rPr>
        <sz val="11"/>
        <rFont val="Arial"/>
        <family val="0"/>
      </rPr>
      <t xml:space="preserve"> [kW/ K]</t>
    </r>
  </si>
  <si>
    <r>
      <t>P</t>
    </r>
    <r>
      <rPr>
        <i/>
        <vertAlign val="subscript"/>
        <sz val="12"/>
        <rFont val="Times New Roman"/>
        <family val="1"/>
      </rPr>
      <t>a</t>
    </r>
  </si>
  <si>
    <r>
      <t>D</t>
    </r>
    <r>
      <rPr>
        <i/>
        <sz val="12"/>
        <rFont val="Times New Roman"/>
        <family val="1"/>
      </rPr>
      <t>t</t>
    </r>
    <r>
      <rPr>
        <i/>
        <vertAlign val="subscript"/>
        <sz val="12"/>
        <rFont val="Times New Roman"/>
        <family val="1"/>
      </rPr>
      <t xml:space="preserve">v </t>
    </r>
    <r>
      <rPr>
        <i/>
        <sz val="12"/>
        <rFont val="Times New Roman"/>
        <family val="1"/>
      </rPr>
      <t>= P*</t>
    </r>
    <r>
      <rPr>
        <sz val="12"/>
        <rFont val="Symbol"/>
        <family val="1"/>
      </rPr>
      <t>q</t>
    </r>
  </si>
  <si>
    <t>NTU = kA/W</t>
  </si>
  <si>
    <r>
      <t>D</t>
    </r>
    <r>
      <rPr>
        <i/>
        <sz val="11"/>
        <rFont val="Times New Roman"/>
        <family val="1"/>
      </rPr>
      <t>t</t>
    </r>
    <r>
      <rPr>
        <i/>
        <vertAlign val="subscript"/>
        <sz val="11"/>
        <rFont val="Times New Roman"/>
        <family val="1"/>
      </rPr>
      <t>e</t>
    </r>
    <r>
      <rPr>
        <i/>
        <sz val="11"/>
        <rFont val="Times New Roman"/>
        <family val="1"/>
      </rPr>
      <t>=LMTD*</t>
    </r>
    <r>
      <rPr>
        <sz val="11"/>
        <rFont val="Symbol"/>
        <family val="1"/>
      </rPr>
      <t>e</t>
    </r>
  </si>
  <si>
    <r>
      <t>D</t>
    </r>
    <r>
      <rPr>
        <i/>
        <sz val="12"/>
        <rFont val="Times New Roman"/>
        <family val="1"/>
      </rPr>
      <t>t</t>
    </r>
    <r>
      <rPr>
        <i/>
        <vertAlign val="subscript"/>
        <sz val="12"/>
        <rFont val="Times New Roman"/>
        <family val="1"/>
      </rPr>
      <t xml:space="preserve">m </t>
    </r>
    <r>
      <rPr>
        <i/>
        <sz val="12"/>
        <rFont val="Times New Roman"/>
        <family val="1"/>
      </rPr>
      <t>= R*</t>
    </r>
    <r>
      <rPr>
        <sz val="12"/>
        <rFont val="Symbol"/>
        <family val="1"/>
      </rPr>
      <t>D</t>
    </r>
    <r>
      <rPr>
        <i/>
        <sz val="12"/>
        <rFont val="Times New Roman"/>
        <family val="1"/>
      </rPr>
      <t>t</t>
    </r>
    <r>
      <rPr>
        <i/>
        <vertAlign val="subscript"/>
        <sz val="12"/>
        <rFont val="Times New Roman"/>
        <family val="1"/>
      </rPr>
      <t>v</t>
    </r>
  </si>
  <si>
    <r>
      <t>Q = W</t>
    </r>
    <r>
      <rPr>
        <i/>
        <vertAlign val="subscript"/>
        <sz val="12"/>
        <rFont val="Times New Roman"/>
        <family val="1"/>
      </rPr>
      <t>v</t>
    </r>
    <r>
      <rPr>
        <i/>
        <sz val="12"/>
        <rFont val="Times New Roman"/>
        <family val="1"/>
      </rPr>
      <t>*</t>
    </r>
    <r>
      <rPr>
        <sz val="12"/>
        <rFont val="Symbol"/>
        <family val="1"/>
      </rPr>
      <t>D</t>
    </r>
    <r>
      <rPr>
        <i/>
        <sz val="12"/>
        <rFont val="Times New Roman"/>
        <family val="1"/>
      </rPr>
      <t>t</t>
    </r>
    <r>
      <rPr>
        <i/>
        <vertAlign val="subscript"/>
        <sz val="12"/>
        <rFont val="Times New Roman"/>
        <family val="1"/>
      </rPr>
      <t>m</t>
    </r>
  </si>
  <si>
    <r>
      <t>Q = W</t>
    </r>
    <r>
      <rPr>
        <i/>
        <vertAlign val="subscript"/>
        <sz val="12"/>
        <rFont val="Times New Roman"/>
        <family val="1"/>
      </rPr>
      <t>m</t>
    </r>
    <r>
      <rPr>
        <i/>
        <sz val="12"/>
        <rFont val="Times New Roman"/>
        <family val="1"/>
      </rPr>
      <t>*</t>
    </r>
    <r>
      <rPr>
        <sz val="12"/>
        <rFont val="Symbol"/>
        <family val="1"/>
      </rPr>
      <t>D</t>
    </r>
    <r>
      <rPr>
        <i/>
        <sz val="12"/>
        <rFont val="Times New Roman"/>
        <family val="1"/>
      </rPr>
      <t>t</t>
    </r>
    <r>
      <rPr>
        <i/>
        <vertAlign val="subscript"/>
        <sz val="12"/>
        <rFont val="Times New Roman"/>
        <family val="1"/>
      </rPr>
      <t>v</t>
    </r>
  </si>
  <si>
    <r>
      <t>Q = kA*</t>
    </r>
    <r>
      <rPr>
        <sz val="12"/>
        <rFont val="Symbol"/>
        <family val="1"/>
      </rPr>
      <t>D</t>
    </r>
    <r>
      <rPr>
        <i/>
        <sz val="12"/>
        <rFont val="Times New Roman"/>
        <family val="1"/>
      </rPr>
      <t>t</t>
    </r>
    <r>
      <rPr>
        <i/>
        <vertAlign val="subscript"/>
        <sz val="12"/>
        <rFont val="Times New Roman"/>
        <family val="1"/>
      </rPr>
      <t>e</t>
    </r>
  </si>
  <si>
    <r>
      <t>t</t>
    </r>
    <r>
      <rPr>
        <i/>
        <sz val="12"/>
        <rFont val="Times New Roman"/>
        <family val="1"/>
      </rPr>
      <t xml:space="preserve">" </t>
    </r>
    <r>
      <rPr>
        <sz val="11"/>
        <rFont val="Arial"/>
        <family val="2"/>
      </rPr>
      <t>[</t>
    </r>
    <r>
      <rPr>
        <vertAlign val="superscript"/>
        <sz val="11"/>
        <rFont val="Arial"/>
        <family val="2"/>
      </rPr>
      <t>o</t>
    </r>
    <r>
      <rPr>
        <sz val="11"/>
        <rFont val="Arial"/>
        <family val="2"/>
      </rPr>
      <t>C]</t>
    </r>
  </si>
  <si>
    <r>
      <t>D</t>
    </r>
    <r>
      <rPr>
        <i/>
        <sz val="12"/>
        <rFont val="Times New Roman"/>
        <family val="1"/>
      </rPr>
      <t>t</t>
    </r>
    <r>
      <rPr>
        <i/>
        <vertAlign val="subscript"/>
        <sz val="12"/>
        <rFont val="Times New Roman"/>
        <family val="1"/>
      </rPr>
      <t>s</t>
    </r>
  </si>
  <si>
    <r>
      <t>D</t>
    </r>
    <r>
      <rPr>
        <i/>
        <sz val="12"/>
        <rFont val="Times New Roman"/>
        <family val="1"/>
      </rPr>
      <t>t</t>
    </r>
    <r>
      <rPr>
        <i/>
        <vertAlign val="subscript"/>
        <sz val="12"/>
        <rFont val="Times New Roman"/>
        <family val="1"/>
      </rPr>
      <t>p</t>
    </r>
  </si>
  <si>
    <r>
      <t>D</t>
    </r>
    <r>
      <rPr>
        <i/>
        <sz val="12"/>
        <rFont val="Times New Roman"/>
        <family val="1"/>
      </rPr>
      <t>t</t>
    </r>
    <r>
      <rPr>
        <i/>
        <vertAlign val="subscript"/>
        <sz val="12"/>
        <rFont val="Times New Roman"/>
        <family val="1"/>
      </rPr>
      <t>v</t>
    </r>
  </si>
  <si>
    <r>
      <t>P,P</t>
    </r>
    <r>
      <rPr>
        <i/>
        <vertAlign val="subscript"/>
        <sz val="12"/>
        <rFont val="Times New Roman"/>
        <family val="1"/>
      </rPr>
      <t>a max</t>
    </r>
  </si>
  <si>
    <r>
      <t>t</t>
    </r>
    <r>
      <rPr>
        <i/>
        <vertAlign val="subscript"/>
        <sz val="12"/>
        <rFont val="Times New Roman"/>
        <family val="1"/>
      </rPr>
      <t>p</t>
    </r>
    <r>
      <rPr>
        <i/>
        <sz val="12"/>
        <rFont val="Times New Roman"/>
        <family val="1"/>
      </rPr>
      <t xml:space="preserve">" </t>
    </r>
    <r>
      <rPr>
        <sz val="11"/>
        <rFont val="Arial"/>
        <family val="2"/>
      </rPr>
      <t>[</t>
    </r>
    <r>
      <rPr>
        <vertAlign val="superscript"/>
        <sz val="11"/>
        <rFont val="Arial"/>
        <family val="2"/>
      </rPr>
      <t>o</t>
    </r>
    <r>
      <rPr>
        <sz val="11"/>
        <rFont val="Arial"/>
        <family val="2"/>
      </rPr>
      <t>C]</t>
    </r>
  </si>
  <si>
    <r>
      <t>t</t>
    </r>
    <r>
      <rPr>
        <i/>
        <vertAlign val="subscript"/>
        <sz val="12"/>
        <rFont val="Times New Roman"/>
        <family val="1"/>
      </rPr>
      <t>s</t>
    </r>
    <r>
      <rPr>
        <i/>
        <sz val="12"/>
        <rFont val="Times New Roman"/>
        <family val="1"/>
      </rPr>
      <t xml:space="preserve">" </t>
    </r>
    <r>
      <rPr>
        <sz val="11"/>
        <rFont val="Arial"/>
        <family val="2"/>
      </rPr>
      <t>[</t>
    </r>
    <r>
      <rPr>
        <vertAlign val="superscript"/>
        <sz val="11"/>
        <rFont val="Arial"/>
        <family val="2"/>
      </rPr>
      <t>o</t>
    </r>
    <r>
      <rPr>
        <sz val="11"/>
        <rFont val="Arial"/>
        <family val="2"/>
      </rPr>
      <t>C]</t>
    </r>
  </si>
  <si>
    <r>
      <t>c</t>
    </r>
    <r>
      <rPr>
        <i/>
        <vertAlign val="subscript"/>
        <sz val="11"/>
        <rFont val="Times New Roman"/>
        <family val="1"/>
      </rPr>
      <t>p</t>
    </r>
    <r>
      <rPr>
        <sz val="10"/>
        <rFont val="Arial"/>
        <family val="2"/>
      </rPr>
      <t>[kJ/(kg K)]</t>
    </r>
  </si>
  <si>
    <r>
      <t>l</t>
    </r>
    <r>
      <rPr>
        <i/>
        <vertAlign val="subscript"/>
        <sz val="12"/>
        <rFont val="Times New Roman"/>
        <family val="1"/>
      </rPr>
      <t>p</t>
    </r>
    <r>
      <rPr>
        <sz val="11"/>
        <rFont val="Arial"/>
        <family val="2"/>
      </rPr>
      <t>[kW/mK]</t>
    </r>
  </si>
  <si>
    <r>
      <t>m</t>
    </r>
    <r>
      <rPr>
        <sz val="11"/>
        <color indexed="8"/>
        <rFont val="Arial"/>
        <family val="0"/>
      </rPr>
      <t xml:space="preserve"> [kg/h]</t>
    </r>
  </si>
  <si>
    <r>
      <t>nr</t>
    </r>
    <r>
      <rPr>
        <i/>
        <sz val="12"/>
        <color indexed="8"/>
        <rFont val="YU L Swiss"/>
        <family val="2"/>
      </rPr>
      <t>/(</t>
    </r>
    <r>
      <rPr>
        <i/>
        <sz val="12"/>
        <color indexed="8"/>
        <rFont val="Symbol"/>
        <family val="1"/>
      </rPr>
      <t>nr)</t>
    </r>
    <r>
      <rPr>
        <i/>
        <vertAlign val="subscript"/>
        <sz val="12"/>
        <color indexed="8"/>
        <rFont val="Times New Roman"/>
        <family val="1"/>
      </rPr>
      <t>z</t>
    </r>
  </si>
  <si>
    <r>
      <t>d</t>
    </r>
    <r>
      <rPr>
        <i/>
        <vertAlign val="subscript"/>
        <sz val="12"/>
        <rFont val="Times New Roman"/>
        <family val="1"/>
      </rPr>
      <t>eo</t>
    </r>
    <r>
      <rPr>
        <sz val="12"/>
        <rFont val="Arial"/>
        <family val="2"/>
      </rPr>
      <t xml:space="preserve"> [m]</t>
    </r>
  </si>
  <si>
    <r>
      <t>k</t>
    </r>
    <r>
      <rPr>
        <i/>
        <vertAlign val="subscript"/>
        <sz val="12"/>
        <color indexed="8"/>
        <rFont val="Times New Roman"/>
        <family val="1"/>
      </rPr>
      <t>v</t>
    </r>
    <r>
      <rPr>
        <sz val="12"/>
        <color indexed="8"/>
        <rFont val="Times New Roman"/>
        <family val="1"/>
      </rPr>
      <t>/</t>
    </r>
    <r>
      <rPr>
        <i/>
        <sz val="12"/>
        <color indexed="8"/>
        <rFont val="Times New Roman"/>
        <family val="1"/>
      </rPr>
      <t>k</t>
    </r>
    <r>
      <rPr>
        <i/>
        <vertAlign val="subscript"/>
        <sz val="12"/>
        <color indexed="8"/>
        <rFont val="Times New Roman"/>
        <family val="1"/>
      </rPr>
      <t>h</t>
    </r>
    <r>
      <rPr>
        <i/>
        <sz val="12"/>
        <color indexed="8"/>
        <rFont val="Times New Roman"/>
        <family val="1"/>
      </rPr>
      <t xml:space="preserve"> </t>
    </r>
  </si>
  <si>
    <r>
      <t>k</t>
    </r>
    <r>
      <rPr>
        <i/>
        <vertAlign val="subscript"/>
        <sz val="12"/>
        <color indexed="8"/>
        <rFont val="Times New Roman"/>
        <family val="1"/>
      </rPr>
      <t>vo</t>
    </r>
    <r>
      <rPr>
        <sz val="12"/>
        <color indexed="8"/>
        <rFont val="Times New Roman"/>
        <family val="1"/>
      </rPr>
      <t>/</t>
    </r>
    <r>
      <rPr>
        <i/>
        <sz val="12"/>
        <color indexed="8"/>
        <rFont val="Times New Roman"/>
        <family val="1"/>
      </rPr>
      <t>k</t>
    </r>
    <r>
      <rPr>
        <i/>
        <vertAlign val="subscript"/>
        <sz val="12"/>
        <color indexed="8"/>
        <rFont val="Times New Roman"/>
        <family val="1"/>
      </rPr>
      <t>ho</t>
    </r>
  </si>
  <si>
    <r>
      <t>n</t>
    </r>
    <r>
      <rPr>
        <sz val="12"/>
        <color indexed="8"/>
        <rFont val="Arial"/>
        <family val="0"/>
      </rPr>
      <t xml:space="preserve"> [kom]</t>
    </r>
  </si>
  <si>
    <r>
      <t>L</t>
    </r>
    <r>
      <rPr>
        <i/>
        <vertAlign val="subscript"/>
        <sz val="12"/>
        <color indexed="8"/>
        <rFont val="Times New Roman"/>
        <family val="1"/>
      </rPr>
      <t>p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Arial"/>
        <family val="0"/>
      </rPr>
      <t>[m]</t>
    </r>
  </si>
  <si>
    <r>
      <t>L</t>
    </r>
    <r>
      <rPr>
        <i/>
        <vertAlign val="subscript"/>
        <sz val="12"/>
        <color indexed="8"/>
        <rFont val="Times New Roman"/>
        <family val="1"/>
      </rPr>
      <t>Kp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Arial"/>
        <family val="0"/>
      </rPr>
      <t>[m]</t>
    </r>
  </si>
  <si>
    <r>
      <t>t</t>
    </r>
    <r>
      <rPr>
        <i/>
        <vertAlign val="subscript"/>
        <sz val="12"/>
        <color indexed="8"/>
        <rFont val="Times New Roman"/>
        <family val="1"/>
      </rPr>
      <t>sr</t>
    </r>
    <r>
      <rPr>
        <sz val="10"/>
        <color indexed="8"/>
        <rFont val="Arial"/>
        <family val="0"/>
      </rPr>
      <t>/</t>
    </r>
    <r>
      <rPr>
        <i/>
        <sz val="12"/>
        <color indexed="8"/>
        <rFont val="Times New Roman"/>
        <family val="1"/>
      </rPr>
      <t>t</t>
    </r>
    <r>
      <rPr>
        <i/>
        <vertAlign val="subscript"/>
        <sz val="12"/>
        <color indexed="8"/>
        <rFont val="Times New Roman"/>
        <family val="1"/>
      </rPr>
      <t>z</t>
    </r>
    <r>
      <rPr>
        <sz val="10"/>
        <color indexed="8"/>
        <rFont val="Arial"/>
        <family val="0"/>
      </rPr>
      <t>[</t>
    </r>
    <r>
      <rPr>
        <vertAlign val="superscript"/>
        <sz val="10"/>
        <color indexed="8"/>
        <rFont val="Arial"/>
        <family val="2"/>
      </rPr>
      <t>o</t>
    </r>
    <r>
      <rPr>
        <sz val="10"/>
        <color indexed="8"/>
        <rFont val="Arial"/>
        <family val="0"/>
      </rPr>
      <t>C]</t>
    </r>
  </si>
  <si>
    <r>
      <t>r</t>
    </r>
    <r>
      <rPr>
        <sz val="10"/>
        <color indexed="8"/>
        <rFont val="Arial"/>
        <family val="0"/>
      </rPr>
      <t>[kg/m</t>
    </r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0"/>
      </rPr>
      <t>]</t>
    </r>
  </si>
  <si>
    <r>
      <t>n</t>
    </r>
    <r>
      <rPr>
        <sz val="10"/>
        <color indexed="8"/>
        <rFont val="Arial"/>
        <family val="0"/>
      </rPr>
      <t>[m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0"/>
      </rPr>
      <t>/s]</t>
    </r>
  </si>
  <si>
    <r>
      <t>d</t>
    </r>
    <r>
      <rPr>
        <i/>
        <vertAlign val="subscript"/>
        <sz val="12"/>
        <color indexed="8"/>
        <rFont val="Times New Roman"/>
        <family val="1"/>
      </rPr>
      <t>pr</t>
    </r>
    <r>
      <rPr>
        <sz val="12"/>
        <color indexed="8"/>
        <rFont val="YU L Swiss"/>
        <family val="2"/>
      </rPr>
      <t xml:space="preserve"> </t>
    </r>
    <r>
      <rPr>
        <sz val="12"/>
        <color indexed="8"/>
        <rFont val="Arial"/>
        <family val="2"/>
      </rPr>
      <t>[m]</t>
    </r>
  </si>
  <si>
    <r>
      <t>d</t>
    </r>
    <r>
      <rPr>
        <i/>
        <vertAlign val="subscript"/>
        <sz val="12"/>
        <color indexed="8"/>
        <rFont val="Times New Roman"/>
        <family val="1"/>
      </rPr>
      <t>min</t>
    </r>
    <r>
      <rPr>
        <sz val="12"/>
        <color indexed="8"/>
        <rFont val="YU L Swiss"/>
        <family val="2"/>
      </rPr>
      <t xml:space="preserve"> </t>
    </r>
    <r>
      <rPr>
        <sz val="12"/>
        <color indexed="8"/>
        <rFont val="Arial"/>
        <family val="2"/>
      </rPr>
      <t>[m]</t>
    </r>
  </si>
  <si>
    <r>
      <t>r</t>
    </r>
    <r>
      <rPr>
        <i/>
        <vertAlign val="subscript"/>
        <sz val="12"/>
        <rFont val="Times New Roman"/>
        <family val="1"/>
      </rPr>
      <t>max</t>
    </r>
    <r>
      <rPr>
        <sz val="12"/>
        <rFont val="Arial"/>
        <family val="2"/>
      </rPr>
      <t xml:space="preserve"> [m]</t>
    </r>
  </si>
  <si>
    <r>
      <t>m</t>
    </r>
    <r>
      <rPr>
        <i/>
        <vertAlign val="subscript"/>
        <sz val="12"/>
        <color indexed="8"/>
        <rFont val="Times New Roman"/>
        <family val="1"/>
      </rPr>
      <t>co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Arial"/>
        <family val="0"/>
      </rPr>
      <t>[m]</t>
    </r>
  </si>
  <si>
    <r>
      <t>m</t>
    </r>
    <r>
      <rPr>
        <i/>
        <vertAlign val="subscript"/>
        <sz val="12"/>
        <color indexed="8"/>
        <rFont val="Times New Roman"/>
        <family val="1"/>
      </rPr>
      <t>fo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Arial"/>
        <family val="0"/>
      </rPr>
      <t>[m]</t>
    </r>
  </si>
  <si>
    <r>
      <t>m</t>
    </r>
    <r>
      <rPr>
        <i/>
        <vertAlign val="subscript"/>
        <sz val="12"/>
        <color indexed="8"/>
        <rFont val="Times New Roman"/>
        <family val="1"/>
      </rPr>
      <t>ao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Arial"/>
        <family val="0"/>
      </rPr>
      <t>[m]</t>
    </r>
  </si>
  <si>
    <r>
      <t>m</t>
    </r>
    <r>
      <rPr>
        <i/>
        <vertAlign val="subscript"/>
        <sz val="12"/>
        <color indexed="8"/>
        <rFont val="Times New Roman"/>
        <family val="1"/>
      </rPr>
      <t>eo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Arial"/>
        <family val="0"/>
      </rPr>
      <t>[m]</t>
    </r>
  </si>
  <si>
    <r>
      <t>F</t>
    </r>
    <r>
      <rPr>
        <i/>
        <vertAlign val="subscript"/>
        <sz val="12"/>
        <rFont val="Times New Roman"/>
        <family val="1"/>
      </rPr>
      <t>eo</t>
    </r>
    <r>
      <rPr>
        <sz val="12"/>
        <rFont val="Arial"/>
        <family val="2"/>
      </rPr>
      <t xml:space="preserve"> [m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>]</t>
    </r>
  </si>
  <si>
    <r>
      <t>F</t>
    </r>
    <r>
      <rPr>
        <i/>
        <vertAlign val="subscript"/>
        <sz val="12"/>
        <rFont val="Times New Roman"/>
        <family val="1"/>
      </rPr>
      <t>ao</t>
    </r>
    <r>
      <rPr>
        <sz val="12"/>
        <rFont val="Arial"/>
        <family val="2"/>
      </rPr>
      <t xml:space="preserve"> [m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>]</t>
    </r>
  </si>
  <si>
    <r>
      <t>F</t>
    </r>
    <r>
      <rPr>
        <i/>
        <vertAlign val="subscript"/>
        <sz val="12"/>
        <rFont val="Times New Roman"/>
        <family val="1"/>
      </rPr>
      <t>cf</t>
    </r>
    <r>
      <rPr>
        <sz val="12"/>
        <rFont val="Arial"/>
        <family val="2"/>
      </rPr>
      <t xml:space="preserve"> [m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>]</t>
    </r>
  </si>
  <si>
    <r>
      <t>F</t>
    </r>
    <r>
      <rPr>
        <i/>
        <vertAlign val="subscript"/>
        <sz val="12"/>
        <rFont val="Times New Roman"/>
        <family val="1"/>
      </rPr>
      <t>oo</t>
    </r>
    <r>
      <rPr>
        <sz val="12"/>
        <rFont val="Arial"/>
        <family val="2"/>
      </rPr>
      <t xml:space="preserve"> [m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>]</t>
    </r>
  </si>
  <si>
    <r>
      <t>w</t>
    </r>
    <r>
      <rPr>
        <i/>
        <vertAlign val="subscript"/>
        <sz val="12"/>
        <color indexed="8"/>
        <rFont val="Times New Roman"/>
        <family val="1"/>
      </rPr>
      <t xml:space="preserve"> pr</t>
    </r>
    <r>
      <rPr>
        <sz val="10"/>
        <color indexed="8"/>
        <rFont val="Arial"/>
        <family val="0"/>
      </rPr>
      <t>[m/s]</t>
    </r>
  </si>
  <si>
    <r>
      <t>l</t>
    </r>
    <r>
      <rPr>
        <i/>
        <vertAlign val="subscript"/>
        <sz val="12"/>
        <rFont val="Times New Roman"/>
        <family val="1"/>
      </rPr>
      <t xml:space="preserve"> </t>
    </r>
    <r>
      <rPr>
        <sz val="11"/>
        <rFont val="Arial"/>
        <family val="2"/>
      </rPr>
      <t>[m]</t>
    </r>
  </si>
  <si>
    <r>
      <t>F</t>
    </r>
    <r>
      <rPr>
        <i/>
        <vertAlign val="subscript"/>
        <sz val="12"/>
        <rFont val="Times New Roman"/>
        <family val="1"/>
      </rPr>
      <t>p</t>
    </r>
    <r>
      <rPr>
        <sz val="12"/>
        <rFont val="Times New Roman"/>
        <family val="1"/>
      </rPr>
      <t>[m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]</t>
    </r>
  </si>
  <si>
    <r>
      <t>w</t>
    </r>
    <r>
      <rPr>
        <i/>
        <vertAlign val="subscript"/>
        <sz val="12"/>
        <rFont val="Times New Roman"/>
        <family val="1"/>
      </rPr>
      <t>p</t>
    </r>
    <r>
      <rPr>
        <sz val="11"/>
        <rFont val="Arial"/>
        <family val="0"/>
      </rPr>
      <t>[m/s]</t>
    </r>
  </si>
  <si>
    <r>
      <t>a</t>
    </r>
    <r>
      <rPr>
        <i/>
        <vertAlign val="subscript"/>
        <sz val="12"/>
        <rFont val="Times New Roman"/>
        <family val="1"/>
      </rPr>
      <t>id</t>
    </r>
    <r>
      <rPr>
        <sz val="10"/>
        <rFont val="Arial"/>
        <family val="2"/>
      </rPr>
      <t>[kW/(m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K)]</t>
    </r>
  </si>
  <si>
    <r>
      <t>a</t>
    </r>
    <r>
      <rPr>
        <i/>
        <vertAlign val="subscript"/>
        <sz val="12"/>
        <rFont val="Times New Roman"/>
        <family val="1"/>
      </rPr>
      <t>o</t>
    </r>
    <r>
      <rPr>
        <sz val="10"/>
        <rFont val="Arial"/>
        <family val="2"/>
      </rPr>
      <t>[kW/(m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K)]</t>
    </r>
  </si>
  <si>
    <r>
      <t>d</t>
    </r>
    <r>
      <rPr>
        <sz val="12"/>
        <color indexed="8"/>
        <rFont val="Arial"/>
        <family val="0"/>
      </rPr>
      <t xml:space="preserve"> [m]</t>
    </r>
  </si>
  <si>
    <r>
      <t>L</t>
    </r>
    <r>
      <rPr>
        <i/>
        <vertAlign val="subscript"/>
        <sz val="12"/>
        <rFont val="Times New Roman"/>
        <family val="1"/>
      </rPr>
      <t>g</t>
    </r>
    <r>
      <rPr>
        <sz val="12"/>
        <rFont val="Arial"/>
        <family val="0"/>
      </rPr>
      <t xml:space="preserve"> [m]</t>
    </r>
  </si>
  <si>
    <r>
      <t>D</t>
    </r>
    <r>
      <rPr>
        <i/>
        <vertAlign val="subscript"/>
        <sz val="12"/>
        <color indexed="8"/>
        <rFont val="Times New Roman"/>
        <family val="1"/>
      </rPr>
      <t>u</t>
    </r>
    <r>
      <rPr>
        <sz val="12"/>
        <color indexed="8"/>
        <rFont val="YU L Swiss"/>
        <family val="2"/>
      </rPr>
      <t xml:space="preserve"> </t>
    </r>
    <r>
      <rPr>
        <sz val="12"/>
        <color indexed="8"/>
        <rFont val="Arial"/>
        <family val="2"/>
      </rPr>
      <t>[m]</t>
    </r>
  </si>
  <si>
    <r>
      <t>d</t>
    </r>
    <r>
      <rPr>
        <i/>
        <vertAlign val="subscript"/>
        <sz val="12"/>
        <rFont val="Times New Roman"/>
        <family val="1"/>
      </rPr>
      <t>s</t>
    </r>
    <r>
      <rPr>
        <sz val="12"/>
        <rFont val="Arial"/>
        <family val="2"/>
      </rPr>
      <t xml:space="preserve"> [m]</t>
    </r>
  </si>
  <si>
    <r>
      <t>d</t>
    </r>
    <r>
      <rPr>
        <i/>
        <vertAlign val="subscript"/>
        <sz val="12"/>
        <rFont val="Times New Roman"/>
        <family val="1"/>
      </rPr>
      <t>u</t>
    </r>
    <r>
      <rPr>
        <sz val="12"/>
        <rFont val="Arial"/>
        <family val="2"/>
      </rPr>
      <t xml:space="preserve"> [m]</t>
    </r>
  </si>
  <si>
    <r>
      <t>H</t>
    </r>
    <r>
      <rPr>
        <i/>
        <vertAlign val="subscript"/>
        <sz val="12"/>
        <color indexed="8"/>
        <rFont val="Times New Roman"/>
        <family val="1"/>
      </rPr>
      <t>o</t>
    </r>
    <r>
      <rPr>
        <sz val="12"/>
        <color indexed="8"/>
        <rFont val="Arial"/>
        <family val="2"/>
      </rPr>
      <t xml:space="preserve"> [m]</t>
    </r>
  </si>
  <si>
    <r>
      <t>g</t>
    </r>
    <r>
      <rPr>
        <i/>
        <vertAlign val="subscript"/>
        <sz val="12"/>
        <rFont val="Times New Roman"/>
        <family val="1"/>
      </rPr>
      <t>u</t>
    </r>
    <r>
      <rPr>
        <sz val="12"/>
        <rFont val="Arial"/>
        <family val="2"/>
      </rPr>
      <t xml:space="preserve"> [</t>
    </r>
    <r>
      <rPr>
        <vertAlign val="superscript"/>
        <sz val="12"/>
        <rFont val="Arial"/>
        <family val="2"/>
      </rPr>
      <t>o</t>
    </r>
    <r>
      <rPr>
        <sz val="12"/>
        <rFont val="Arial"/>
        <family val="2"/>
      </rPr>
      <t>]</t>
    </r>
  </si>
  <si>
    <r>
      <t>d</t>
    </r>
    <r>
      <rPr>
        <i/>
        <vertAlign val="subscript"/>
        <sz val="12"/>
        <color indexed="8"/>
        <rFont val="Times New Roman"/>
        <family val="1"/>
      </rPr>
      <t>u pr</t>
    </r>
    <r>
      <rPr>
        <sz val="12"/>
        <color indexed="8"/>
        <rFont val="Arial"/>
        <family val="2"/>
      </rPr>
      <t>[m]</t>
    </r>
  </si>
  <si>
    <r>
      <t>L</t>
    </r>
    <r>
      <rPr>
        <i/>
        <vertAlign val="subscript"/>
        <sz val="12"/>
        <rFont val="Times New Roman"/>
        <family val="1"/>
      </rPr>
      <t>s</t>
    </r>
    <r>
      <rPr>
        <sz val="12"/>
        <rFont val="Arial"/>
        <family val="0"/>
      </rPr>
      <t xml:space="preserve"> [m]</t>
    </r>
  </si>
  <si>
    <r>
      <t>x</t>
    </r>
    <r>
      <rPr>
        <i/>
        <vertAlign val="subscript"/>
        <sz val="12"/>
        <color indexed="8"/>
        <rFont val="Times New Roman"/>
        <family val="1"/>
      </rPr>
      <t>t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Arial"/>
        <family val="0"/>
      </rPr>
      <t>[m]</t>
    </r>
  </si>
  <si>
    <r>
      <t>F</t>
    </r>
    <r>
      <rPr>
        <i/>
        <vertAlign val="subscript"/>
        <sz val="12"/>
        <rFont val="Times New Roman"/>
        <family val="1"/>
      </rPr>
      <t>t</t>
    </r>
    <r>
      <rPr>
        <sz val="11"/>
        <rFont val="Arial"/>
        <family val="0"/>
      </rPr>
      <t xml:space="preserve"> [m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0"/>
      </rPr>
      <t>]</t>
    </r>
  </si>
  <si>
    <r>
      <t>w</t>
    </r>
    <r>
      <rPr>
        <i/>
        <vertAlign val="subscript"/>
        <sz val="12"/>
        <rFont val="Arial"/>
        <family val="2"/>
      </rPr>
      <t>t</t>
    </r>
    <r>
      <rPr>
        <sz val="11"/>
        <rFont val="Arial"/>
        <family val="0"/>
      </rPr>
      <t xml:space="preserve"> [m/s]</t>
    </r>
  </si>
  <si>
    <r>
      <t>F</t>
    </r>
    <r>
      <rPr>
        <i/>
        <vertAlign val="subscript"/>
        <sz val="12"/>
        <rFont val="Times New Roman"/>
        <family val="1"/>
      </rPr>
      <t>M</t>
    </r>
    <r>
      <rPr>
        <vertAlign val="subscript"/>
        <sz val="12"/>
        <rFont val="Times New Roman"/>
        <family val="1"/>
      </rPr>
      <t>1</t>
    </r>
    <r>
      <rPr>
        <sz val="12"/>
        <rFont val="Arial"/>
        <family val="2"/>
      </rPr>
      <t xml:space="preserve"> [m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>]</t>
    </r>
  </si>
  <si>
    <r>
      <t>F</t>
    </r>
    <r>
      <rPr>
        <i/>
        <vertAlign val="subscript"/>
        <sz val="12"/>
        <rFont val="Times New Roman"/>
        <family val="1"/>
      </rPr>
      <t>M</t>
    </r>
    <r>
      <rPr>
        <vertAlign val="subscript"/>
        <sz val="12"/>
        <rFont val="Times New Roman"/>
        <family val="1"/>
      </rPr>
      <t>2</t>
    </r>
    <r>
      <rPr>
        <sz val="12"/>
        <rFont val="Arial"/>
        <family val="2"/>
      </rPr>
      <t xml:space="preserve"> [m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>]</t>
    </r>
  </si>
  <si>
    <r>
      <t>F</t>
    </r>
    <r>
      <rPr>
        <i/>
        <vertAlign val="subscript"/>
        <sz val="12"/>
        <rFont val="Times New Roman"/>
        <family val="1"/>
      </rPr>
      <t>M</t>
    </r>
    <r>
      <rPr>
        <sz val="12"/>
        <rFont val="Arial"/>
        <family val="2"/>
      </rPr>
      <t xml:space="preserve"> [m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>]</t>
    </r>
  </si>
  <si>
    <r>
      <t>w</t>
    </r>
    <r>
      <rPr>
        <i/>
        <vertAlign val="subscript"/>
        <sz val="12"/>
        <color indexed="8"/>
        <rFont val="Times New Roman"/>
        <family val="1"/>
      </rPr>
      <t>M</t>
    </r>
    <r>
      <rPr>
        <sz val="10"/>
        <color indexed="8"/>
        <rFont val="Arial"/>
        <family val="0"/>
      </rPr>
      <t xml:space="preserve"> [m/s]</t>
    </r>
  </si>
  <si>
    <r>
      <t>F</t>
    </r>
    <r>
      <rPr>
        <i/>
        <vertAlign val="subscript"/>
        <sz val="12"/>
        <rFont val="Times New Roman"/>
        <family val="1"/>
      </rPr>
      <t>K</t>
    </r>
    <r>
      <rPr>
        <vertAlign val="subscript"/>
        <sz val="12"/>
        <rFont val="Times New Roman"/>
        <family val="1"/>
      </rPr>
      <t>1</t>
    </r>
    <r>
      <rPr>
        <sz val="12"/>
        <rFont val="Arial"/>
        <family val="2"/>
      </rPr>
      <t xml:space="preserve"> [m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>]</t>
    </r>
  </si>
  <si>
    <r>
      <t>F</t>
    </r>
    <r>
      <rPr>
        <i/>
        <vertAlign val="subscript"/>
        <sz val="12"/>
        <rFont val="Times New Roman"/>
        <family val="1"/>
      </rPr>
      <t>K</t>
    </r>
    <r>
      <rPr>
        <vertAlign val="subscript"/>
        <sz val="12"/>
        <rFont val="Times New Roman"/>
        <family val="1"/>
      </rPr>
      <t>2</t>
    </r>
    <r>
      <rPr>
        <sz val="12"/>
        <rFont val="Arial"/>
        <family val="2"/>
      </rPr>
      <t xml:space="preserve"> [m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>]</t>
    </r>
  </si>
  <si>
    <r>
      <t>F</t>
    </r>
    <r>
      <rPr>
        <i/>
        <vertAlign val="subscript"/>
        <sz val="12"/>
        <rFont val="Times New Roman"/>
        <family val="1"/>
      </rPr>
      <t>K</t>
    </r>
    <r>
      <rPr>
        <sz val="12"/>
        <rFont val="Arial"/>
        <family val="2"/>
      </rPr>
      <t xml:space="preserve"> [m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>]</t>
    </r>
  </si>
  <si>
    <r>
      <t>w</t>
    </r>
    <r>
      <rPr>
        <i/>
        <vertAlign val="subscript"/>
        <sz val="12"/>
        <color indexed="8"/>
        <rFont val="Times New Roman"/>
        <family val="1"/>
      </rPr>
      <t>K</t>
    </r>
    <r>
      <rPr>
        <sz val="10"/>
        <color indexed="8"/>
        <rFont val="Arial"/>
        <family val="0"/>
      </rPr>
      <t xml:space="preserve"> [m/s]</t>
    </r>
  </si>
  <si>
    <r>
      <t>D</t>
    </r>
    <r>
      <rPr>
        <i/>
        <sz val="12"/>
        <rFont val="Times New Roman"/>
        <family val="1"/>
      </rPr>
      <t>p</t>
    </r>
    <r>
      <rPr>
        <i/>
        <vertAlign val="subscript"/>
        <sz val="12"/>
        <rFont val="Times New Roman"/>
        <family val="1"/>
      </rPr>
      <t>M</t>
    </r>
    <r>
      <rPr>
        <sz val="11"/>
        <rFont val="Arial"/>
        <family val="2"/>
      </rPr>
      <t>[kP</t>
    </r>
    <r>
      <rPr>
        <vertAlign val="subscript"/>
        <sz val="11"/>
        <rFont val="Arial"/>
        <family val="2"/>
      </rPr>
      <t>a</t>
    </r>
    <r>
      <rPr>
        <sz val="11"/>
        <rFont val="Arial"/>
        <family val="2"/>
      </rPr>
      <t>]</t>
    </r>
  </si>
  <si>
    <r>
      <t>D</t>
    </r>
    <r>
      <rPr>
        <i/>
        <sz val="12"/>
        <rFont val="Times New Roman"/>
        <family val="1"/>
      </rPr>
      <t>p</t>
    </r>
    <r>
      <rPr>
        <i/>
        <vertAlign val="subscript"/>
        <sz val="12"/>
        <rFont val="Times New Roman"/>
        <family val="1"/>
      </rPr>
      <t>K</t>
    </r>
    <r>
      <rPr>
        <sz val="11"/>
        <rFont val="Arial"/>
        <family val="2"/>
      </rPr>
      <t>[kP</t>
    </r>
    <r>
      <rPr>
        <vertAlign val="subscript"/>
        <sz val="11"/>
        <rFont val="Arial"/>
        <family val="2"/>
      </rPr>
      <t>a</t>
    </r>
    <r>
      <rPr>
        <sz val="11"/>
        <rFont val="Arial"/>
        <family val="2"/>
      </rPr>
      <t>]</t>
    </r>
  </si>
  <si>
    <r>
      <t>D</t>
    </r>
    <r>
      <rPr>
        <i/>
        <sz val="12"/>
        <rFont val="Times New Roman"/>
        <family val="1"/>
      </rPr>
      <t>p</t>
    </r>
    <r>
      <rPr>
        <i/>
        <vertAlign val="subscript"/>
        <sz val="12"/>
        <rFont val="Times New Roman"/>
        <family val="1"/>
      </rPr>
      <t>UO</t>
    </r>
    <r>
      <rPr>
        <sz val="11"/>
        <rFont val="Arial"/>
        <family val="2"/>
      </rPr>
      <t>[kP</t>
    </r>
    <r>
      <rPr>
        <vertAlign val="subscript"/>
        <sz val="11"/>
        <rFont val="Arial"/>
        <family val="2"/>
      </rPr>
      <t>a</t>
    </r>
    <r>
      <rPr>
        <sz val="11"/>
        <rFont val="Arial"/>
        <family val="2"/>
      </rPr>
      <t>]</t>
    </r>
  </si>
  <si>
    <r>
      <t>D</t>
    </r>
    <r>
      <rPr>
        <i/>
        <sz val="12"/>
        <rFont val="Times New Roman"/>
        <family val="1"/>
      </rPr>
      <t>p</t>
    </r>
    <r>
      <rPr>
        <i/>
        <vertAlign val="subscript"/>
        <sz val="12"/>
        <rFont val="Times New Roman"/>
        <family val="1"/>
      </rPr>
      <t>cs</t>
    </r>
    <r>
      <rPr>
        <sz val="11"/>
        <rFont val="Arial"/>
        <family val="2"/>
      </rPr>
      <t>[kP</t>
    </r>
    <r>
      <rPr>
        <vertAlign val="subscript"/>
        <sz val="11"/>
        <rFont val="Arial"/>
        <family val="2"/>
      </rPr>
      <t>a</t>
    </r>
    <r>
      <rPr>
        <sz val="11"/>
        <rFont val="Arial"/>
        <family val="2"/>
      </rPr>
      <t>]</t>
    </r>
  </si>
  <si>
    <r>
      <t>D</t>
    </r>
    <r>
      <rPr>
        <i/>
        <sz val="12"/>
        <rFont val="Times New Roman"/>
        <family val="1"/>
      </rPr>
      <t>p</t>
    </r>
    <r>
      <rPr>
        <i/>
        <vertAlign val="subscript"/>
        <sz val="12"/>
        <rFont val="Times New Roman"/>
        <family val="1"/>
      </rPr>
      <t>iM</t>
    </r>
    <r>
      <rPr>
        <sz val="11"/>
        <rFont val="Arial"/>
        <family val="2"/>
      </rPr>
      <t>[kP</t>
    </r>
    <r>
      <rPr>
        <vertAlign val="subscript"/>
        <sz val="11"/>
        <rFont val="Arial"/>
        <family val="2"/>
      </rPr>
      <t>a</t>
    </r>
    <r>
      <rPr>
        <sz val="11"/>
        <rFont val="Arial"/>
        <family val="2"/>
      </rPr>
      <t>]</t>
    </r>
  </si>
  <si>
    <r>
      <t>D</t>
    </r>
    <r>
      <rPr>
        <i/>
        <sz val="12"/>
        <rFont val="Times New Roman"/>
        <family val="1"/>
      </rPr>
      <t>p</t>
    </r>
    <r>
      <rPr>
        <i/>
        <vertAlign val="subscript"/>
        <sz val="12"/>
        <rFont val="Times New Roman"/>
        <family val="1"/>
      </rPr>
      <t>PK</t>
    </r>
    <r>
      <rPr>
        <sz val="11"/>
        <rFont val="Arial"/>
        <family val="2"/>
      </rPr>
      <t>[kP</t>
    </r>
    <r>
      <rPr>
        <vertAlign val="subscript"/>
        <sz val="11"/>
        <rFont val="Arial"/>
        <family val="2"/>
      </rPr>
      <t>a</t>
    </r>
    <r>
      <rPr>
        <sz val="11"/>
        <rFont val="Arial"/>
        <family val="2"/>
      </rPr>
      <t>]</t>
    </r>
  </si>
  <si>
    <r>
      <t>w</t>
    </r>
    <r>
      <rPr>
        <i/>
        <vertAlign val="subscript"/>
        <sz val="12"/>
        <color indexed="8"/>
        <rFont val="Times New Roman"/>
        <family val="1"/>
      </rPr>
      <t>sr</t>
    </r>
    <r>
      <rPr>
        <sz val="10"/>
        <color indexed="8"/>
        <rFont val="Arial"/>
        <family val="0"/>
      </rPr>
      <t xml:space="preserve"> [m/s]</t>
    </r>
  </si>
  <si>
    <r>
      <t>D</t>
    </r>
    <r>
      <rPr>
        <i/>
        <sz val="12"/>
        <rFont val="Times New Roman"/>
        <family val="1"/>
      </rPr>
      <t>p</t>
    </r>
    <r>
      <rPr>
        <i/>
        <vertAlign val="subscript"/>
        <sz val="12"/>
        <rFont val="Times New Roman"/>
        <family val="1"/>
      </rPr>
      <t>iO</t>
    </r>
    <r>
      <rPr>
        <sz val="11"/>
        <rFont val="Arial"/>
        <family val="2"/>
      </rPr>
      <t>[kP</t>
    </r>
    <r>
      <rPr>
        <vertAlign val="subscript"/>
        <sz val="11"/>
        <rFont val="Arial"/>
        <family val="2"/>
      </rPr>
      <t>a</t>
    </r>
    <r>
      <rPr>
        <sz val="11"/>
        <rFont val="Arial"/>
        <family val="2"/>
      </rPr>
      <t>]</t>
    </r>
  </si>
  <si>
    <r>
      <t>D</t>
    </r>
    <r>
      <rPr>
        <i/>
        <sz val="12"/>
        <rFont val="Times New Roman"/>
        <family val="1"/>
      </rPr>
      <t>p</t>
    </r>
    <r>
      <rPr>
        <i/>
        <vertAlign val="subscript"/>
        <sz val="12"/>
        <rFont val="Times New Roman"/>
        <family val="1"/>
      </rPr>
      <t>O</t>
    </r>
    <r>
      <rPr>
        <sz val="11"/>
        <rFont val="Arial"/>
        <family val="2"/>
      </rPr>
      <t>[kP</t>
    </r>
    <r>
      <rPr>
        <vertAlign val="subscript"/>
        <sz val="11"/>
        <rFont val="Arial"/>
        <family val="2"/>
      </rPr>
      <t>a</t>
    </r>
    <r>
      <rPr>
        <sz val="11"/>
        <rFont val="Arial"/>
        <family val="2"/>
      </rPr>
      <t>]</t>
    </r>
  </si>
  <si>
    <r>
      <t>H</t>
    </r>
    <r>
      <rPr>
        <i/>
        <vertAlign val="subscript"/>
        <sz val="12"/>
        <color indexed="8"/>
        <rFont val="Times New Roman"/>
        <family val="1"/>
      </rPr>
      <t>o</t>
    </r>
    <r>
      <rPr>
        <sz val="12"/>
        <color indexed="8"/>
        <rFont val="Times New Roman"/>
        <family val="1"/>
      </rPr>
      <t>/</t>
    </r>
    <r>
      <rPr>
        <i/>
        <sz val="12"/>
        <color indexed="8"/>
        <rFont val="Times New Roman"/>
        <family val="1"/>
      </rPr>
      <t>D</t>
    </r>
    <r>
      <rPr>
        <i/>
        <vertAlign val="subscript"/>
        <sz val="12"/>
        <color indexed="8"/>
        <rFont val="Times New Roman"/>
        <family val="1"/>
      </rPr>
      <t>u</t>
    </r>
  </si>
  <si>
    <r>
      <t>d</t>
    </r>
    <r>
      <rPr>
        <i/>
        <vertAlign val="subscript"/>
        <sz val="12"/>
        <rFont val="Times New Roman"/>
        <family val="1"/>
      </rPr>
      <t>s</t>
    </r>
    <r>
      <rPr>
        <sz val="12"/>
        <rFont val="Times New Roman"/>
        <family val="1"/>
      </rPr>
      <t xml:space="preserve"> </t>
    </r>
    <r>
      <rPr>
        <sz val="12"/>
        <rFont val="Arial"/>
        <family val="2"/>
      </rPr>
      <t>[m]</t>
    </r>
  </si>
  <si>
    <r>
      <t>L</t>
    </r>
    <r>
      <rPr>
        <i/>
        <vertAlign val="subscript"/>
        <sz val="12"/>
        <rFont val="Times New Roman"/>
        <family val="1"/>
      </rPr>
      <t>g</t>
    </r>
    <r>
      <rPr>
        <sz val="10"/>
        <rFont val="Arial"/>
        <family val="0"/>
      </rPr>
      <t xml:space="preserve"> </t>
    </r>
    <r>
      <rPr>
        <sz val="12"/>
        <rFont val="Arial"/>
        <family val="2"/>
      </rPr>
      <t>[m]</t>
    </r>
  </si>
  <si>
    <r>
      <t>r</t>
    </r>
    <r>
      <rPr>
        <i/>
        <vertAlign val="subscript"/>
        <sz val="12"/>
        <color indexed="8"/>
        <rFont val="Times New Roman"/>
        <family val="1"/>
      </rPr>
      <t>max</t>
    </r>
    <r>
      <rPr>
        <sz val="12"/>
        <color indexed="8"/>
        <rFont val="Arial"/>
        <family val="2"/>
      </rPr>
      <t>[m]</t>
    </r>
  </si>
  <si>
    <r>
      <t>d</t>
    </r>
    <r>
      <rPr>
        <i/>
        <vertAlign val="subscript"/>
        <sz val="12"/>
        <rFont val="Times New Roman"/>
        <family val="1"/>
      </rPr>
      <t>u</t>
    </r>
    <r>
      <rPr>
        <sz val="12"/>
        <rFont val="Times New Roman"/>
        <family val="1"/>
      </rPr>
      <t xml:space="preserve"> </t>
    </r>
    <r>
      <rPr>
        <sz val="12"/>
        <rFont val="Arial"/>
        <family val="2"/>
      </rPr>
      <t>[m]</t>
    </r>
  </si>
  <si>
    <r>
      <t>t</t>
    </r>
    <r>
      <rPr>
        <i/>
        <vertAlign val="subscript"/>
        <sz val="12"/>
        <rFont val="Times New Roman"/>
        <family val="1"/>
      </rPr>
      <t>p sr</t>
    </r>
    <r>
      <rPr>
        <sz val="9"/>
        <rFont val="YU L Swiss"/>
        <family val="2"/>
      </rPr>
      <t>VI[E</t>
    </r>
    <r>
      <rPr>
        <sz val="8"/>
        <rFont val="Arial"/>
        <family val="2"/>
      </rPr>
      <t xml:space="preserve"> </t>
    </r>
    <r>
      <rPr>
        <sz val="10"/>
        <rFont val="Arial"/>
        <family val="2"/>
      </rPr>
      <t>[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C]</t>
    </r>
  </si>
  <si>
    <r>
      <t>t</t>
    </r>
    <r>
      <rPr>
        <i/>
        <vertAlign val="subscript"/>
        <sz val="12"/>
        <rFont val="Times New Roman"/>
        <family val="1"/>
      </rPr>
      <t>p sr</t>
    </r>
    <r>
      <rPr>
        <sz val="9"/>
        <rFont val="YU L Swiss"/>
        <family val="2"/>
      </rPr>
      <t>NI@E</t>
    </r>
    <r>
      <rPr>
        <sz val="8"/>
        <rFont val="Arial"/>
        <family val="2"/>
      </rPr>
      <t xml:space="preserve"> </t>
    </r>
    <r>
      <rPr>
        <sz val="10"/>
        <rFont val="Arial"/>
        <family val="2"/>
      </rPr>
      <t>[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C]</t>
    </r>
  </si>
  <si>
    <r>
      <t>t</t>
    </r>
    <r>
      <rPr>
        <i/>
        <vertAlign val="subscript"/>
        <sz val="12"/>
        <rFont val="Times New Roman"/>
        <family val="1"/>
      </rPr>
      <t>s sr</t>
    </r>
    <r>
      <rPr>
        <sz val="9"/>
        <rFont val="YU L Swiss"/>
        <family val="2"/>
      </rPr>
      <t>VI[E</t>
    </r>
    <r>
      <rPr>
        <sz val="8"/>
        <rFont val="Arial"/>
        <family val="2"/>
      </rPr>
      <t xml:space="preserve"> </t>
    </r>
    <r>
      <rPr>
        <sz val="10"/>
        <rFont val="Arial"/>
        <family val="2"/>
      </rPr>
      <t>[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C]</t>
    </r>
  </si>
  <si>
    <r>
      <t>t</t>
    </r>
    <r>
      <rPr>
        <i/>
        <vertAlign val="subscript"/>
        <sz val="12"/>
        <rFont val="Times New Roman"/>
        <family val="1"/>
      </rPr>
      <t>s sr</t>
    </r>
    <r>
      <rPr>
        <sz val="9"/>
        <rFont val="YU L Swiss"/>
        <family val="2"/>
      </rPr>
      <t>NI@E</t>
    </r>
    <r>
      <rPr>
        <sz val="8"/>
        <rFont val="Arial"/>
        <family val="2"/>
      </rPr>
      <t xml:space="preserve"> </t>
    </r>
    <r>
      <rPr>
        <sz val="10"/>
        <rFont val="Arial"/>
        <family val="2"/>
      </rPr>
      <t>[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C]</t>
    </r>
  </si>
  <si>
    <r>
      <t>t</t>
    </r>
    <r>
      <rPr>
        <i/>
        <vertAlign val="subscript"/>
        <sz val="12"/>
        <rFont val="Times New Roman"/>
        <family val="1"/>
      </rPr>
      <t xml:space="preserve">p sr </t>
    </r>
    <r>
      <rPr>
        <sz val="12"/>
        <rFont val="Arial"/>
        <family val="2"/>
      </rPr>
      <t>[</t>
    </r>
    <r>
      <rPr>
        <vertAlign val="superscript"/>
        <sz val="12"/>
        <rFont val="Arial"/>
        <family val="2"/>
      </rPr>
      <t>o</t>
    </r>
    <r>
      <rPr>
        <sz val="12"/>
        <rFont val="Arial"/>
        <family val="2"/>
      </rPr>
      <t>C]</t>
    </r>
  </si>
  <si>
    <r>
      <t>t</t>
    </r>
    <r>
      <rPr>
        <i/>
        <vertAlign val="subscript"/>
        <sz val="12"/>
        <rFont val="Times New Roman"/>
        <family val="1"/>
      </rPr>
      <t xml:space="preserve">s sr </t>
    </r>
    <r>
      <rPr>
        <sz val="12"/>
        <rFont val="Arial"/>
        <family val="2"/>
      </rPr>
      <t>[</t>
    </r>
    <r>
      <rPr>
        <vertAlign val="superscript"/>
        <sz val="12"/>
        <rFont val="Arial"/>
        <family val="2"/>
      </rPr>
      <t>o</t>
    </r>
    <r>
      <rPr>
        <sz val="12"/>
        <rFont val="Arial"/>
        <family val="2"/>
      </rPr>
      <t>C]</t>
    </r>
  </si>
  <si>
    <t xml:space="preserve">R </t>
  </si>
  <si>
    <r>
      <t>p</t>
    </r>
    <r>
      <rPr>
        <i/>
        <vertAlign val="subscript"/>
        <sz val="12"/>
        <rFont val="Times New Roman"/>
        <family val="1"/>
      </rPr>
      <t>pa</t>
    </r>
    <r>
      <rPr>
        <vertAlign val="subscript"/>
        <sz val="12"/>
        <rFont val="Arial"/>
        <family val="2"/>
      </rPr>
      <t xml:space="preserve"> </t>
    </r>
    <r>
      <rPr>
        <sz val="12"/>
        <rFont val="Arial"/>
        <family val="2"/>
      </rPr>
      <t>[bar]</t>
    </r>
  </si>
  <si>
    <r>
      <t>t</t>
    </r>
    <r>
      <rPr>
        <i/>
        <vertAlign val="subscript"/>
        <sz val="12"/>
        <rFont val="Times New Roman"/>
        <family val="1"/>
      </rPr>
      <t>p</t>
    </r>
    <r>
      <rPr>
        <i/>
        <sz val="12"/>
        <rFont val="Times New Roman"/>
        <family val="1"/>
      </rPr>
      <t>'</t>
    </r>
    <r>
      <rPr>
        <sz val="11"/>
        <rFont val="Arial"/>
        <family val="2"/>
      </rPr>
      <t xml:space="preserve"> [</t>
    </r>
    <r>
      <rPr>
        <vertAlign val="superscript"/>
        <sz val="11"/>
        <rFont val="Arial"/>
        <family val="2"/>
      </rPr>
      <t>o</t>
    </r>
    <r>
      <rPr>
        <sz val="11"/>
        <rFont val="Arial"/>
        <family val="2"/>
      </rPr>
      <t>C]</t>
    </r>
  </si>
  <si>
    <r>
      <t>h</t>
    </r>
    <r>
      <rPr>
        <i/>
        <vertAlign val="subscript"/>
        <sz val="12"/>
        <rFont val="Times New Roman"/>
        <family val="1"/>
      </rPr>
      <t>p</t>
    </r>
    <r>
      <rPr>
        <vertAlign val="subscript"/>
        <sz val="12"/>
        <rFont val="Arial"/>
        <family val="2"/>
      </rPr>
      <t xml:space="preserve"> </t>
    </r>
    <r>
      <rPr>
        <sz val="12"/>
        <rFont val="Arial"/>
        <family val="2"/>
      </rPr>
      <t>[kJ/kg]</t>
    </r>
  </si>
  <si>
    <r>
      <t>t</t>
    </r>
    <r>
      <rPr>
        <i/>
        <vertAlign val="subscript"/>
        <sz val="12"/>
        <rFont val="Times New Roman"/>
        <family val="1"/>
      </rPr>
      <t>k</t>
    </r>
    <r>
      <rPr>
        <sz val="12"/>
        <rFont val="Arial"/>
        <family val="2"/>
      </rPr>
      <t xml:space="preserve"> [</t>
    </r>
    <r>
      <rPr>
        <vertAlign val="superscript"/>
        <sz val="12"/>
        <rFont val="Arial"/>
        <family val="2"/>
      </rPr>
      <t>o</t>
    </r>
    <r>
      <rPr>
        <sz val="12"/>
        <rFont val="Arial"/>
        <family val="2"/>
      </rPr>
      <t>C]</t>
    </r>
  </si>
  <si>
    <r>
      <t>h"</t>
    </r>
    <r>
      <rPr>
        <i/>
        <vertAlign val="subscript"/>
        <sz val="12"/>
        <rFont val="Times New Roman"/>
        <family val="1"/>
      </rPr>
      <t>p</t>
    </r>
    <r>
      <rPr>
        <vertAlign val="subscript"/>
        <sz val="12"/>
        <rFont val="Arial"/>
        <family val="2"/>
      </rPr>
      <t xml:space="preserve"> </t>
    </r>
    <r>
      <rPr>
        <sz val="12"/>
        <rFont val="Arial"/>
        <family val="2"/>
      </rPr>
      <t>[kJ/kg]</t>
    </r>
  </si>
  <si>
    <r>
      <t>h'</t>
    </r>
    <r>
      <rPr>
        <i/>
        <vertAlign val="subscript"/>
        <sz val="12"/>
        <rFont val="Times New Roman"/>
        <family val="1"/>
      </rPr>
      <t>p</t>
    </r>
    <r>
      <rPr>
        <vertAlign val="subscript"/>
        <sz val="12"/>
        <rFont val="Arial"/>
        <family val="2"/>
      </rPr>
      <t xml:space="preserve"> </t>
    </r>
    <r>
      <rPr>
        <sz val="12"/>
        <rFont val="Arial"/>
        <family val="2"/>
      </rPr>
      <t>[kJ/kg]</t>
    </r>
  </si>
  <si>
    <r>
      <t>r</t>
    </r>
    <r>
      <rPr>
        <sz val="12"/>
        <rFont val="Arial"/>
        <family val="2"/>
      </rPr>
      <t xml:space="preserve"> [kJ /kg]</t>
    </r>
  </si>
  <si>
    <r>
      <t>t</t>
    </r>
    <r>
      <rPr>
        <i/>
        <vertAlign val="subscript"/>
        <sz val="12"/>
        <rFont val="Times New Roman"/>
        <family val="1"/>
      </rPr>
      <t>s</t>
    </r>
    <r>
      <rPr>
        <i/>
        <sz val="12"/>
        <rFont val="Times New Roman"/>
        <family val="1"/>
      </rPr>
      <t>'</t>
    </r>
    <r>
      <rPr>
        <sz val="11"/>
        <rFont val="Arial"/>
        <family val="2"/>
      </rPr>
      <t xml:space="preserve"> [</t>
    </r>
    <r>
      <rPr>
        <vertAlign val="superscript"/>
        <sz val="11"/>
        <rFont val="Arial"/>
        <family val="2"/>
      </rPr>
      <t>o</t>
    </r>
    <r>
      <rPr>
        <sz val="11"/>
        <rFont val="Arial"/>
        <family val="2"/>
      </rPr>
      <t>C]</t>
    </r>
  </si>
  <si>
    <r>
      <t>d</t>
    </r>
    <r>
      <rPr>
        <i/>
        <vertAlign val="subscript"/>
        <sz val="12"/>
        <rFont val="Times New Roman"/>
        <family val="1"/>
      </rPr>
      <t xml:space="preserve">s </t>
    </r>
    <r>
      <rPr>
        <sz val="12"/>
        <rFont val="Arial"/>
        <family val="2"/>
      </rPr>
      <t>[m]</t>
    </r>
  </si>
  <si>
    <r>
      <t>d</t>
    </r>
    <r>
      <rPr>
        <i/>
        <vertAlign val="subscript"/>
        <sz val="12"/>
        <rFont val="Times New Roman"/>
        <family val="1"/>
      </rPr>
      <t xml:space="preserve">u </t>
    </r>
    <r>
      <rPr>
        <sz val="12"/>
        <rFont val="Arial"/>
        <family val="2"/>
      </rPr>
      <t>[m]</t>
    </r>
  </si>
  <si>
    <r>
      <t>a</t>
    </r>
    <r>
      <rPr>
        <i/>
        <vertAlign val="subscript"/>
        <sz val="11"/>
        <rFont val="Arial"/>
        <family val="2"/>
      </rPr>
      <t>p</t>
    </r>
    <r>
      <rPr>
        <vertAlign val="superscript"/>
        <sz val="11"/>
        <rFont val="Arial"/>
        <family val="2"/>
      </rPr>
      <t>HP</t>
    </r>
    <r>
      <rPr>
        <sz val="9.5"/>
        <rFont val="Arial"/>
        <family val="2"/>
      </rPr>
      <t>[kW/m</t>
    </r>
    <r>
      <rPr>
        <vertAlign val="superscript"/>
        <sz val="9.5"/>
        <rFont val="Arial"/>
        <family val="2"/>
      </rPr>
      <t xml:space="preserve">2 </t>
    </r>
    <r>
      <rPr>
        <sz val="9.5"/>
        <rFont val="Arial"/>
        <family val="2"/>
      </rPr>
      <t>K]</t>
    </r>
  </si>
  <si>
    <r>
      <t>t</t>
    </r>
    <r>
      <rPr>
        <i/>
        <vertAlign val="subscript"/>
        <sz val="12"/>
        <rFont val="Times New Roman"/>
        <family val="1"/>
      </rPr>
      <t>p</t>
    </r>
    <r>
      <rPr>
        <vertAlign val="superscript"/>
        <sz val="12"/>
        <rFont val="Arial"/>
        <family val="2"/>
      </rPr>
      <t>HP</t>
    </r>
    <r>
      <rPr>
        <sz val="12"/>
        <rFont val="Arial"/>
        <family val="2"/>
      </rPr>
      <t xml:space="preserve"> [</t>
    </r>
    <r>
      <rPr>
        <vertAlign val="superscript"/>
        <sz val="12"/>
        <rFont val="Arial"/>
        <family val="2"/>
      </rPr>
      <t>o</t>
    </r>
    <r>
      <rPr>
        <sz val="12"/>
        <rFont val="Arial"/>
        <family val="2"/>
      </rPr>
      <t>C]</t>
    </r>
  </si>
  <si>
    <r>
      <t>h</t>
    </r>
    <r>
      <rPr>
        <i/>
        <vertAlign val="subscript"/>
        <sz val="12"/>
        <rFont val="Times New Roman"/>
        <family val="1"/>
      </rPr>
      <t>p</t>
    </r>
    <r>
      <rPr>
        <vertAlign val="superscript"/>
        <sz val="12"/>
        <rFont val="Arial"/>
        <family val="2"/>
      </rPr>
      <t>HP</t>
    </r>
    <r>
      <rPr>
        <vertAlign val="subscript"/>
        <sz val="12"/>
        <rFont val="Arial"/>
        <family val="2"/>
      </rPr>
      <t xml:space="preserve"> </t>
    </r>
    <r>
      <rPr>
        <sz val="12"/>
        <rFont val="Arial"/>
        <family val="2"/>
      </rPr>
      <t>[kJ/kg]</t>
    </r>
  </si>
  <si>
    <r>
      <t>S</t>
    </r>
    <r>
      <rPr>
        <i/>
        <sz val="12"/>
        <rFont val="Times New Roman"/>
        <family val="1"/>
      </rPr>
      <t>kA</t>
    </r>
    <r>
      <rPr>
        <sz val="11"/>
        <rFont val="Arial"/>
        <family val="2"/>
      </rPr>
      <t xml:space="preserve"> [kW/K]</t>
    </r>
  </si>
  <si>
    <r>
      <t>Q</t>
    </r>
    <r>
      <rPr>
        <sz val="10"/>
        <rFont val="Arial"/>
        <family val="2"/>
      </rPr>
      <t>[kW] Bilans</t>
    </r>
  </si>
  <si>
    <r>
      <t>t</t>
    </r>
    <r>
      <rPr>
        <i/>
        <vertAlign val="subscript"/>
        <sz val="12"/>
        <rFont val="Times New Roman"/>
        <family val="1"/>
      </rPr>
      <t>p</t>
    </r>
    <r>
      <rPr>
        <i/>
        <sz val="12"/>
        <rFont val="Times New Roman"/>
        <family val="1"/>
      </rPr>
      <t>"</t>
    </r>
    <r>
      <rPr>
        <sz val="11"/>
        <rFont val="Arial"/>
        <family val="2"/>
      </rPr>
      <t xml:space="preserve"> [</t>
    </r>
    <r>
      <rPr>
        <vertAlign val="superscript"/>
        <sz val="11"/>
        <rFont val="Arial"/>
        <family val="2"/>
      </rPr>
      <t>o</t>
    </r>
    <r>
      <rPr>
        <sz val="11"/>
        <rFont val="Arial"/>
        <family val="2"/>
      </rPr>
      <t>C]</t>
    </r>
  </si>
  <si>
    <r>
      <t>t</t>
    </r>
    <r>
      <rPr>
        <i/>
        <vertAlign val="subscript"/>
        <sz val="12"/>
        <rFont val="Times New Roman"/>
        <family val="1"/>
      </rPr>
      <t>s</t>
    </r>
    <r>
      <rPr>
        <i/>
        <sz val="12"/>
        <rFont val="Times New Roman"/>
        <family val="1"/>
      </rPr>
      <t>"</t>
    </r>
    <r>
      <rPr>
        <sz val="11"/>
        <rFont val="Arial"/>
        <family val="2"/>
      </rPr>
      <t xml:space="preserve"> [</t>
    </r>
    <r>
      <rPr>
        <vertAlign val="superscript"/>
        <sz val="11"/>
        <rFont val="Arial"/>
        <family val="2"/>
      </rPr>
      <t>o</t>
    </r>
    <r>
      <rPr>
        <sz val="11"/>
        <rFont val="Arial"/>
        <family val="2"/>
      </rPr>
      <t>C]</t>
    </r>
  </si>
  <si>
    <r>
      <t>kA</t>
    </r>
    <r>
      <rPr>
        <b/>
        <sz val="11"/>
        <rFont val="Arial"/>
        <family val="2"/>
      </rPr>
      <t xml:space="preserve"> [kW/K]</t>
    </r>
  </si>
  <si>
    <r>
      <t>Q</t>
    </r>
    <r>
      <rPr>
        <b/>
        <sz val="12"/>
        <rFont val="Arial"/>
        <family val="2"/>
      </rPr>
      <t xml:space="preserve"> [kW]</t>
    </r>
  </si>
  <si>
    <r>
      <t>t</t>
    </r>
    <r>
      <rPr>
        <i/>
        <vertAlign val="subscript"/>
        <sz val="12"/>
        <rFont val="Times New Roman"/>
        <family val="1"/>
      </rPr>
      <t>p sr</t>
    </r>
    <r>
      <rPr>
        <sz val="11"/>
        <rFont val="Arial"/>
        <family val="2"/>
      </rPr>
      <t xml:space="preserve"> [</t>
    </r>
    <r>
      <rPr>
        <vertAlign val="superscript"/>
        <sz val="11"/>
        <rFont val="Arial"/>
        <family val="2"/>
      </rPr>
      <t>o</t>
    </r>
    <r>
      <rPr>
        <sz val="11"/>
        <rFont val="Arial"/>
        <family val="2"/>
      </rPr>
      <t>C]</t>
    </r>
  </si>
  <si>
    <r>
      <t>t</t>
    </r>
    <r>
      <rPr>
        <i/>
        <vertAlign val="subscript"/>
        <sz val="12"/>
        <rFont val="Times New Roman"/>
        <family val="1"/>
      </rPr>
      <t>s sr</t>
    </r>
    <r>
      <rPr>
        <sz val="11"/>
        <rFont val="Arial"/>
        <family val="2"/>
      </rPr>
      <t xml:space="preserve"> [</t>
    </r>
    <r>
      <rPr>
        <vertAlign val="superscript"/>
        <sz val="11"/>
        <rFont val="Arial"/>
        <family val="2"/>
      </rPr>
      <t>o</t>
    </r>
    <r>
      <rPr>
        <sz val="11"/>
        <rFont val="Arial"/>
        <family val="2"/>
      </rPr>
      <t>C]</t>
    </r>
  </si>
  <si>
    <r>
      <t>c</t>
    </r>
    <r>
      <rPr>
        <i/>
        <vertAlign val="subscript"/>
        <sz val="12"/>
        <rFont val="Times New Roman"/>
        <family val="1"/>
      </rPr>
      <t>p</t>
    </r>
    <r>
      <rPr>
        <sz val="10"/>
        <rFont val="Arial"/>
        <family val="0"/>
      </rPr>
      <t xml:space="preserve"> </t>
    </r>
    <r>
      <rPr>
        <sz val="10"/>
        <rFont val="Arial"/>
        <family val="2"/>
      </rPr>
      <t>[kJ/kg K]</t>
    </r>
  </si>
  <si>
    <r>
      <t>c</t>
    </r>
    <r>
      <rPr>
        <i/>
        <vertAlign val="subscript"/>
        <sz val="12"/>
        <rFont val="Times New Roman"/>
        <family val="1"/>
      </rPr>
      <t>s</t>
    </r>
    <r>
      <rPr>
        <sz val="10"/>
        <rFont val="Arial"/>
        <family val="0"/>
      </rPr>
      <t xml:space="preserve"> </t>
    </r>
    <r>
      <rPr>
        <sz val="10"/>
        <rFont val="Arial"/>
        <family val="2"/>
      </rPr>
      <t>[kJ/kg K]</t>
    </r>
  </si>
  <si>
    <r>
      <t>W</t>
    </r>
    <r>
      <rPr>
        <i/>
        <vertAlign val="subscript"/>
        <sz val="12"/>
        <rFont val="Times New Roman"/>
        <family val="1"/>
      </rPr>
      <t>p</t>
    </r>
    <r>
      <rPr>
        <sz val="11"/>
        <rFont val="Arial"/>
        <family val="0"/>
      </rPr>
      <t xml:space="preserve"> [kW/K]</t>
    </r>
  </si>
  <si>
    <r>
      <t>W</t>
    </r>
    <r>
      <rPr>
        <i/>
        <vertAlign val="subscript"/>
        <sz val="12"/>
        <rFont val="Times New Roman"/>
        <family val="1"/>
      </rPr>
      <t>s</t>
    </r>
    <r>
      <rPr>
        <sz val="11"/>
        <rFont val="Arial"/>
        <family val="0"/>
      </rPr>
      <t xml:space="preserve"> [kW/K]</t>
    </r>
  </si>
  <si>
    <r>
      <t>D</t>
    </r>
    <r>
      <rPr>
        <i/>
        <sz val="12"/>
        <rFont val="Times New Roman"/>
        <family val="1"/>
      </rPr>
      <t>t</t>
    </r>
    <r>
      <rPr>
        <i/>
        <vertAlign val="subscript"/>
        <sz val="12"/>
        <rFont val="Times New Roman"/>
        <family val="1"/>
      </rPr>
      <t>v</t>
    </r>
    <r>
      <rPr>
        <i/>
        <sz val="12"/>
        <rFont val="Times New Roman"/>
        <family val="1"/>
      </rPr>
      <t>= P*</t>
    </r>
    <r>
      <rPr>
        <i/>
        <sz val="12"/>
        <rFont val="Symbol"/>
        <family val="1"/>
      </rPr>
      <t>q</t>
    </r>
  </si>
  <si>
    <r>
      <t>D</t>
    </r>
    <r>
      <rPr>
        <i/>
        <sz val="12"/>
        <rFont val="Times New Roman"/>
        <family val="1"/>
      </rPr>
      <t>t</t>
    </r>
    <r>
      <rPr>
        <i/>
        <vertAlign val="subscript"/>
        <sz val="12"/>
        <rFont val="Times New Roman"/>
        <family val="1"/>
      </rPr>
      <t>v</t>
    </r>
  </si>
  <si>
    <r>
      <t>D</t>
    </r>
    <r>
      <rPr>
        <i/>
        <sz val="11"/>
        <rFont val="Times New Roman"/>
        <family val="1"/>
      </rPr>
      <t>t</t>
    </r>
    <r>
      <rPr>
        <i/>
        <vertAlign val="subscript"/>
        <sz val="11"/>
        <rFont val="Times New Roman"/>
        <family val="1"/>
      </rPr>
      <t>e</t>
    </r>
    <r>
      <rPr>
        <sz val="11"/>
        <rFont val="YU L Swiss"/>
        <family val="2"/>
      </rPr>
      <t>=</t>
    </r>
    <r>
      <rPr>
        <i/>
        <sz val="11"/>
        <rFont val="Times New Roman"/>
        <family val="1"/>
      </rPr>
      <t>LMTD</t>
    </r>
    <r>
      <rPr>
        <i/>
        <sz val="12"/>
        <rFont val="Symbol"/>
        <family val="1"/>
      </rPr>
      <t>e</t>
    </r>
  </si>
  <si>
    <r>
      <t>Q</t>
    </r>
    <r>
      <rPr>
        <i/>
        <vertAlign val="subscript"/>
        <sz val="12"/>
        <rFont val="Times New Roman"/>
        <family val="1"/>
      </rPr>
      <t>s</t>
    </r>
    <r>
      <rPr>
        <i/>
        <sz val="12"/>
        <rFont val="Times New Roman"/>
        <family val="1"/>
      </rPr>
      <t>= W</t>
    </r>
    <r>
      <rPr>
        <i/>
        <vertAlign val="subscript"/>
        <sz val="12"/>
        <rFont val="Times New Roman"/>
        <family val="1"/>
      </rPr>
      <t>s</t>
    </r>
    <r>
      <rPr>
        <sz val="12"/>
        <rFont val="Symbol"/>
        <family val="1"/>
      </rPr>
      <t>D</t>
    </r>
    <r>
      <rPr>
        <i/>
        <sz val="12"/>
        <rFont val="Times New Roman"/>
        <family val="1"/>
      </rPr>
      <t>t</t>
    </r>
    <r>
      <rPr>
        <i/>
        <vertAlign val="subscript"/>
        <sz val="12"/>
        <rFont val="Times New Roman"/>
        <family val="1"/>
      </rPr>
      <t>s</t>
    </r>
  </si>
  <si>
    <r>
      <t>Q</t>
    </r>
    <r>
      <rPr>
        <i/>
        <vertAlign val="subscript"/>
        <sz val="12"/>
        <rFont val="Times New Roman"/>
        <family val="1"/>
      </rPr>
      <t>p</t>
    </r>
    <r>
      <rPr>
        <i/>
        <sz val="12"/>
        <rFont val="Times New Roman"/>
        <family val="1"/>
      </rPr>
      <t>= W</t>
    </r>
    <r>
      <rPr>
        <i/>
        <vertAlign val="subscript"/>
        <sz val="12"/>
        <rFont val="Times New Roman"/>
        <family val="1"/>
      </rPr>
      <t>p</t>
    </r>
    <r>
      <rPr>
        <sz val="12"/>
        <rFont val="Symbol"/>
        <family val="1"/>
      </rPr>
      <t>D</t>
    </r>
    <r>
      <rPr>
        <i/>
        <sz val="12"/>
        <rFont val="Times New Roman"/>
        <family val="1"/>
      </rPr>
      <t>t</t>
    </r>
    <r>
      <rPr>
        <i/>
        <vertAlign val="subscript"/>
        <sz val="12"/>
        <rFont val="Times New Roman"/>
        <family val="1"/>
      </rPr>
      <t>p</t>
    </r>
  </si>
  <si>
    <r>
      <t xml:space="preserve">Q = kA </t>
    </r>
    <r>
      <rPr>
        <sz val="12"/>
        <rFont val="Symbol"/>
        <family val="1"/>
      </rPr>
      <t>D</t>
    </r>
    <r>
      <rPr>
        <i/>
        <sz val="12"/>
        <rFont val="Times New Roman"/>
        <family val="1"/>
      </rPr>
      <t>t</t>
    </r>
    <r>
      <rPr>
        <i/>
        <vertAlign val="subscript"/>
        <sz val="12"/>
        <rFont val="Times New Roman"/>
        <family val="1"/>
      </rPr>
      <t>e</t>
    </r>
  </si>
  <si>
    <r>
      <t>Q = m</t>
    </r>
    <r>
      <rPr>
        <i/>
        <vertAlign val="subscript"/>
        <sz val="12"/>
        <rFont val="Times New Roman"/>
        <family val="1"/>
      </rPr>
      <t>p</t>
    </r>
    <r>
      <rPr>
        <sz val="12"/>
        <rFont val="Symbol"/>
        <family val="1"/>
      </rPr>
      <t>D</t>
    </r>
    <r>
      <rPr>
        <i/>
        <sz val="12"/>
        <rFont val="Times New Roman"/>
        <family val="1"/>
      </rPr>
      <t>h</t>
    </r>
  </si>
  <si>
    <r>
      <t>Q = kA</t>
    </r>
    <r>
      <rPr>
        <sz val="12"/>
        <rFont val="Symbol"/>
        <family val="1"/>
      </rPr>
      <t>D</t>
    </r>
    <r>
      <rPr>
        <i/>
        <sz val="12"/>
        <rFont val="Times New Roman"/>
        <family val="1"/>
      </rPr>
      <t>t</t>
    </r>
    <r>
      <rPr>
        <i/>
        <vertAlign val="subscript"/>
        <sz val="12"/>
        <rFont val="Times New Roman"/>
        <family val="1"/>
      </rPr>
      <t>e</t>
    </r>
  </si>
  <si>
    <r>
      <t>Q=</t>
    </r>
    <r>
      <rPr>
        <i/>
        <sz val="10"/>
        <rFont val="Times New Roman"/>
        <family val="1"/>
      </rPr>
      <t>m</t>
    </r>
    <r>
      <rPr>
        <i/>
        <vertAlign val="subscript"/>
        <sz val="11"/>
        <rFont val="Times New Roman"/>
        <family val="1"/>
      </rPr>
      <t>p</t>
    </r>
    <r>
      <rPr>
        <i/>
        <sz val="10"/>
        <rFont val="Times New Roman"/>
        <family val="1"/>
      </rPr>
      <t>r</t>
    </r>
    <r>
      <rPr>
        <sz val="9"/>
        <rFont val="Times New Roman"/>
        <family val="1"/>
      </rPr>
      <t>(</t>
    </r>
    <r>
      <rPr>
        <sz val="10"/>
        <rFont val="Times New Roman"/>
        <family val="1"/>
      </rPr>
      <t>1</t>
    </r>
    <r>
      <rPr>
        <i/>
        <sz val="9"/>
        <rFont val="Times New Roman"/>
        <family val="1"/>
      </rPr>
      <t>+</t>
    </r>
    <r>
      <rPr>
        <sz val="8.5"/>
        <rFont val="Symbol"/>
        <family val="1"/>
      </rPr>
      <t>L</t>
    </r>
    <r>
      <rPr>
        <sz val="9"/>
        <rFont val="Times New Roman"/>
        <family val="1"/>
      </rPr>
      <t>)</t>
    </r>
    <r>
      <rPr>
        <i/>
        <sz val="10"/>
        <rFont val="Times New Roman"/>
        <family val="1"/>
      </rPr>
      <t>x</t>
    </r>
  </si>
  <si>
    <t>0,7&lt; Pr &lt;7</t>
  </si>
  <si>
    <t>0,5&lt; Pr &lt;1000</t>
  </si>
  <si>
    <t>0,7&lt; Pr &lt;2500</t>
  </si>
  <si>
    <t>Prantlov</t>
  </si>
  <si>
    <r>
      <t>z</t>
    </r>
    <r>
      <rPr>
        <i/>
        <vertAlign val="subscript"/>
        <sz val="12"/>
        <rFont val="Times New Roman"/>
        <family val="1"/>
      </rPr>
      <t>r</t>
    </r>
    <r>
      <rPr>
        <sz val="11"/>
        <rFont val="Arial"/>
        <family val="2"/>
      </rPr>
      <t xml:space="preserve"> [</t>
    </r>
    <r>
      <rPr>
        <sz val="11"/>
        <rFont val="Symbol"/>
        <family val="1"/>
      </rPr>
      <t>-</t>
    </r>
    <r>
      <rPr>
        <sz val="11"/>
        <rFont val="Arial"/>
        <family val="2"/>
      </rPr>
      <t>]</t>
    </r>
  </si>
  <si>
    <r>
      <t>z</t>
    </r>
    <r>
      <rPr>
        <i/>
        <vertAlign val="subscript"/>
        <sz val="12"/>
        <rFont val="Times New Roman"/>
        <family val="1"/>
      </rPr>
      <t>o</t>
    </r>
    <r>
      <rPr>
        <sz val="12"/>
        <rFont val="Times New Roman"/>
        <family val="1"/>
      </rPr>
      <t xml:space="preserve"> </t>
    </r>
    <r>
      <rPr>
        <sz val="11"/>
        <rFont val="Arial"/>
        <family val="2"/>
      </rPr>
      <t>[</t>
    </r>
    <r>
      <rPr>
        <sz val="11"/>
        <rFont val="Symbol"/>
        <family val="1"/>
      </rPr>
      <t>-</t>
    </r>
    <r>
      <rPr>
        <sz val="11"/>
        <rFont val="Arial"/>
        <family val="2"/>
      </rPr>
      <t>]</t>
    </r>
  </si>
  <si>
    <r>
      <t>N</t>
    </r>
    <r>
      <rPr>
        <i/>
        <vertAlign val="subscript"/>
        <sz val="12"/>
        <color indexed="8"/>
        <rFont val="Times New Roman"/>
        <family val="1"/>
      </rPr>
      <t>ru</t>
    </r>
    <r>
      <rPr>
        <sz val="12"/>
        <color indexed="8"/>
        <rFont val="Times New Roman"/>
        <family val="1"/>
      </rPr>
      <t xml:space="preserve"> </t>
    </r>
    <r>
      <rPr>
        <sz val="11"/>
        <color indexed="8"/>
        <rFont val="Arial"/>
        <family val="2"/>
      </rPr>
      <t>[</t>
    </r>
    <r>
      <rPr>
        <sz val="11"/>
        <color indexed="8"/>
        <rFont val="Symbol"/>
        <family val="1"/>
      </rPr>
      <t>-</t>
    </r>
    <r>
      <rPr>
        <sz val="11"/>
        <color indexed="8"/>
        <rFont val="Arial"/>
        <family val="2"/>
      </rPr>
      <t>]</t>
    </r>
  </si>
  <si>
    <r>
      <t>N</t>
    </r>
    <r>
      <rPr>
        <i/>
        <vertAlign val="subscript"/>
        <sz val="12"/>
        <color indexed="8"/>
        <rFont val="Times New Roman"/>
        <family val="1"/>
      </rPr>
      <t>ku</t>
    </r>
    <r>
      <rPr>
        <sz val="12"/>
        <color indexed="8"/>
        <rFont val="Times New Roman"/>
        <family val="1"/>
      </rPr>
      <t xml:space="preserve"> </t>
    </r>
    <r>
      <rPr>
        <sz val="11"/>
        <color indexed="8"/>
        <rFont val="Arial"/>
        <family val="2"/>
      </rPr>
      <t>[</t>
    </r>
    <r>
      <rPr>
        <sz val="11"/>
        <color indexed="8"/>
        <rFont val="Symbol"/>
        <family val="1"/>
      </rPr>
      <t>-</t>
    </r>
    <r>
      <rPr>
        <sz val="11"/>
        <color indexed="8"/>
        <rFont val="Arial"/>
        <family val="2"/>
      </rPr>
      <t>]</t>
    </r>
  </si>
  <si>
    <r>
      <t>z</t>
    </r>
    <r>
      <rPr>
        <i/>
        <vertAlign val="subscript"/>
        <sz val="12"/>
        <rFont val="Times New Roman"/>
        <family val="1"/>
      </rPr>
      <t>r</t>
    </r>
    <r>
      <rPr>
        <sz val="10"/>
        <rFont val="Arial"/>
        <family val="0"/>
      </rPr>
      <t xml:space="preserve"> </t>
    </r>
    <r>
      <rPr>
        <sz val="11"/>
        <rFont val="Arial"/>
        <family val="2"/>
      </rPr>
      <t>[</t>
    </r>
    <r>
      <rPr>
        <sz val="11"/>
        <rFont val="Symbol"/>
        <family val="1"/>
      </rPr>
      <t>-</t>
    </r>
    <r>
      <rPr>
        <sz val="11"/>
        <rFont val="Arial"/>
        <family val="2"/>
      </rPr>
      <t>]</t>
    </r>
  </si>
  <si>
    <r>
      <t>z</t>
    </r>
    <r>
      <rPr>
        <i/>
        <vertAlign val="subscript"/>
        <sz val="12"/>
        <rFont val="Times New Roman"/>
        <family val="1"/>
      </rPr>
      <t>r</t>
    </r>
    <r>
      <rPr>
        <vertAlign val="sub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[</t>
    </r>
    <r>
      <rPr>
        <sz val="12"/>
        <rFont val="Symbol"/>
        <family val="1"/>
      </rPr>
      <t>-</t>
    </r>
    <r>
      <rPr>
        <sz val="12"/>
        <rFont val="Times New Roman"/>
        <family val="1"/>
      </rPr>
      <t>]</t>
    </r>
  </si>
  <si>
    <r>
      <t>N</t>
    </r>
    <r>
      <rPr>
        <i/>
        <vertAlign val="subscript"/>
        <sz val="12"/>
        <color indexed="8"/>
        <rFont val="Times New Roman"/>
        <family val="1"/>
      </rPr>
      <t>o</t>
    </r>
    <r>
      <rPr>
        <sz val="11"/>
        <color indexed="8"/>
        <rFont val="Arial"/>
        <family val="2"/>
      </rPr>
      <t xml:space="preserve"> [</t>
    </r>
    <r>
      <rPr>
        <sz val="11"/>
        <color indexed="8"/>
        <rFont val="Symbol"/>
        <family val="1"/>
      </rPr>
      <t>-</t>
    </r>
    <r>
      <rPr>
        <sz val="11"/>
        <color indexed="8"/>
        <rFont val="Arial"/>
        <family val="2"/>
      </rPr>
      <t>]</t>
    </r>
  </si>
  <si>
    <r>
      <t>n</t>
    </r>
    <r>
      <rPr>
        <i/>
        <vertAlign val="subscript"/>
        <sz val="12"/>
        <color indexed="8"/>
        <rFont val="Times New Roman"/>
        <family val="1"/>
      </rPr>
      <t>o</t>
    </r>
    <r>
      <rPr>
        <sz val="11"/>
        <color indexed="8"/>
        <rFont val="Arial"/>
        <family val="2"/>
      </rPr>
      <t xml:space="preserve"> [</t>
    </r>
    <r>
      <rPr>
        <sz val="11"/>
        <color indexed="8"/>
        <rFont val="Symbol"/>
        <family val="1"/>
      </rPr>
      <t>-</t>
    </r>
    <r>
      <rPr>
        <sz val="11"/>
        <color indexed="8"/>
        <rFont val="Arial"/>
        <family val="2"/>
      </rPr>
      <t>]</t>
    </r>
  </si>
  <si>
    <r>
      <t>n</t>
    </r>
    <r>
      <rPr>
        <i/>
        <vertAlign val="subscript"/>
        <sz val="12"/>
        <color indexed="8"/>
        <rFont val="Times New Roman"/>
        <family val="1"/>
      </rPr>
      <t>p</t>
    </r>
    <r>
      <rPr>
        <vertAlign val="sub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 xml:space="preserve"> </t>
    </r>
    <r>
      <rPr>
        <sz val="11"/>
        <color indexed="8"/>
        <rFont val="Arial"/>
        <family val="2"/>
      </rPr>
      <t>[</t>
    </r>
    <r>
      <rPr>
        <sz val="11"/>
        <color indexed="8"/>
        <rFont val="Symbol"/>
        <family val="1"/>
      </rPr>
      <t>-</t>
    </r>
    <r>
      <rPr>
        <sz val="11"/>
        <color indexed="8"/>
        <rFont val="Arial"/>
        <family val="2"/>
      </rPr>
      <t>]</t>
    </r>
  </si>
  <si>
    <r>
      <t>n</t>
    </r>
    <r>
      <rPr>
        <i/>
        <vertAlign val="subscript"/>
        <sz val="12"/>
        <color indexed="8"/>
        <rFont val="Times New Roman"/>
        <family val="1"/>
      </rPr>
      <t>p</t>
    </r>
    <r>
      <rPr>
        <vertAlign val="subscript"/>
        <sz val="12"/>
        <color indexed="8"/>
        <rFont val="Times New Roman"/>
        <family val="1"/>
      </rPr>
      <t>2</t>
    </r>
    <r>
      <rPr>
        <sz val="11"/>
        <color indexed="8"/>
        <rFont val="Arial"/>
        <family val="2"/>
      </rPr>
      <t xml:space="preserve"> [</t>
    </r>
    <r>
      <rPr>
        <sz val="11"/>
        <color indexed="8"/>
        <rFont val="Symbol"/>
        <family val="1"/>
      </rPr>
      <t>-</t>
    </r>
    <r>
      <rPr>
        <sz val="11"/>
        <color indexed="8"/>
        <rFont val="Arial"/>
        <family val="2"/>
      </rPr>
      <t>]</t>
    </r>
  </si>
  <si>
    <r>
      <t xml:space="preserve"> [</t>
    </r>
    <r>
      <rPr>
        <sz val="12"/>
        <rFont val="Symbol"/>
        <family val="1"/>
      </rPr>
      <t>-</t>
    </r>
    <r>
      <rPr>
        <sz val="12"/>
        <rFont val="Arial"/>
        <family val="2"/>
      </rPr>
      <t>]</t>
    </r>
  </si>
  <si>
    <r>
      <t>f</t>
    </r>
    <r>
      <rPr>
        <i/>
        <vertAlign val="subscript"/>
        <sz val="12"/>
        <rFont val="Times New Roman"/>
        <family val="1"/>
      </rPr>
      <t>Gr</t>
    </r>
    <r>
      <rPr>
        <sz val="12"/>
        <rFont val="Arial"/>
        <family val="2"/>
      </rPr>
      <t xml:space="preserve"> [</t>
    </r>
    <r>
      <rPr>
        <sz val="12"/>
        <rFont val="Symbol"/>
        <family val="1"/>
      </rPr>
      <t>-</t>
    </r>
    <r>
      <rPr>
        <sz val="12"/>
        <rFont val="Arial"/>
        <family val="2"/>
      </rPr>
      <t>]</t>
    </r>
  </si>
  <si>
    <r>
      <t>f</t>
    </r>
    <r>
      <rPr>
        <i/>
        <vertAlign val="subscript"/>
        <sz val="12"/>
        <rFont val="Times New Roman"/>
        <family val="1"/>
      </rPr>
      <t>Qr</t>
    </r>
    <r>
      <rPr>
        <sz val="12"/>
        <rFont val="Arial"/>
        <family val="2"/>
      </rPr>
      <t xml:space="preserve"> [</t>
    </r>
    <r>
      <rPr>
        <sz val="12"/>
        <rFont val="Symbol"/>
        <family val="1"/>
      </rPr>
      <t>-</t>
    </r>
    <r>
      <rPr>
        <sz val="12"/>
        <rFont val="Arial"/>
        <family val="2"/>
      </rPr>
      <t>]</t>
    </r>
  </si>
  <si>
    <r>
      <t>K</t>
    </r>
    <r>
      <rPr>
        <i/>
        <vertAlign val="subscript"/>
        <sz val="12"/>
        <rFont val="Times New Roman"/>
        <family val="1"/>
      </rPr>
      <t>r</t>
    </r>
    <r>
      <rPr>
        <sz val="12"/>
        <rFont val="Arial"/>
        <family val="2"/>
      </rPr>
      <t xml:space="preserve"> [</t>
    </r>
    <r>
      <rPr>
        <sz val="12"/>
        <rFont val="Symbol"/>
        <family val="1"/>
      </rPr>
      <t>-</t>
    </r>
    <r>
      <rPr>
        <sz val="12"/>
        <rFont val="Arial"/>
        <family val="2"/>
      </rPr>
      <t>]</t>
    </r>
  </si>
  <si>
    <r>
      <t>x</t>
    </r>
    <r>
      <rPr>
        <i/>
        <vertAlign val="subscript"/>
        <sz val="12"/>
        <rFont val="Times New Roman"/>
        <family val="1"/>
      </rPr>
      <t>r</t>
    </r>
    <r>
      <rPr>
        <i/>
        <sz val="12"/>
        <rFont val="Arial"/>
        <family val="2"/>
      </rPr>
      <t xml:space="preserve"> </t>
    </r>
    <r>
      <rPr>
        <sz val="12"/>
        <rFont val="Arial"/>
        <family val="2"/>
      </rPr>
      <t>[</t>
    </r>
    <r>
      <rPr>
        <sz val="12"/>
        <rFont val="Symbol"/>
        <family val="1"/>
      </rPr>
      <t>-</t>
    </r>
    <r>
      <rPr>
        <sz val="12"/>
        <rFont val="Arial"/>
        <family val="2"/>
      </rPr>
      <t>]</t>
    </r>
  </si>
  <si>
    <r>
      <t>f</t>
    </r>
    <r>
      <rPr>
        <i/>
        <vertAlign val="subscript"/>
        <sz val="12"/>
        <rFont val="Times New Roman"/>
        <family val="1"/>
      </rPr>
      <t>Go</t>
    </r>
    <r>
      <rPr>
        <sz val="12"/>
        <rFont val="Arial"/>
        <family val="2"/>
      </rPr>
      <t xml:space="preserve"> [</t>
    </r>
    <r>
      <rPr>
        <sz val="12"/>
        <rFont val="Symbol"/>
        <family val="1"/>
      </rPr>
      <t>-</t>
    </r>
    <r>
      <rPr>
        <sz val="12"/>
        <rFont val="Arial"/>
        <family val="2"/>
      </rPr>
      <t>]</t>
    </r>
  </si>
  <si>
    <r>
      <t>f</t>
    </r>
    <r>
      <rPr>
        <i/>
        <vertAlign val="subscript"/>
        <sz val="12"/>
        <rFont val="Times New Roman"/>
        <family val="1"/>
      </rPr>
      <t>Qo</t>
    </r>
    <r>
      <rPr>
        <sz val="12"/>
        <rFont val="Arial"/>
        <family val="2"/>
      </rPr>
      <t xml:space="preserve"> [</t>
    </r>
    <r>
      <rPr>
        <sz val="12"/>
        <rFont val="Symbol"/>
        <family val="1"/>
      </rPr>
      <t>-</t>
    </r>
    <r>
      <rPr>
        <sz val="12"/>
        <rFont val="Arial"/>
        <family val="2"/>
      </rPr>
      <t>]</t>
    </r>
  </si>
  <si>
    <r>
      <t>K</t>
    </r>
    <r>
      <rPr>
        <i/>
        <vertAlign val="subscript"/>
        <sz val="12"/>
        <rFont val="Times New Roman"/>
        <family val="1"/>
      </rPr>
      <t>o</t>
    </r>
    <r>
      <rPr>
        <sz val="12"/>
        <rFont val="Arial"/>
        <family val="2"/>
      </rPr>
      <t xml:space="preserve"> [</t>
    </r>
    <r>
      <rPr>
        <sz val="12"/>
        <rFont val="Symbol"/>
        <family val="1"/>
      </rPr>
      <t>-</t>
    </r>
    <r>
      <rPr>
        <sz val="12"/>
        <rFont val="Arial"/>
        <family val="2"/>
      </rPr>
      <t>]</t>
    </r>
  </si>
  <si>
    <r>
      <t>x</t>
    </r>
    <r>
      <rPr>
        <i/>
        <vertAlign val="subscript"/>
        <sz val="12"/>
        <rFont val="Times New Roman"/>
        <family val="1"/>
      </rPr>
      <t>o</t>
    </r>
    <r>
      <rPr>
        <i/>
        <sz val="12"/>
        <rFont val="Arial"/>
        <family val="2"/>
      </rPr>
      <t xml:space="preserve"> </t>
    </r>
    <r>
      <rPr>
        <sz val="12"/>
        <rFont val="Arial"/>
        <family val="2"/>
      </rPr>
      <t>[</t>
    </r>
    <r>
      <rPr>
        <sz val="12"/>
        <rFont val="Symbol"/>
        <family val="1"/>
      </rPr>
      <t>-</t>
    </r>
    <r>
      <rPr>
        <sz val="12"/>
        <rFont val="Arial"/>
        <family val="2"/>
      </rPr>
      <t>]</t>
    </r>
  </si>
  <si>
    <r>
      <t>Nu</t>
    </r>
    <r>
      <rPr>
        <i/>
        <vertAlign val="subscript"/>
        <sz val="12"/>
        <rFont val="Times New Roman"/>
        <family val="1"/>
      </rPr>
      <t>r</t>
    </r>
    <r>
      <rPr>
        <sz val="12"/>
        <rFont val="Arial"/>
        <family val="2"/>
      </rPr>
      <t>[</t>
    </r>
    <r>
      <rPr>
        <sz val="12"/>
        <rFont val="Symbol"/>
        <family val="1"/>
      </rPr>
      <t>-</t>
    </r>
    <r>
      <rPr>
        <sz val="12"/>
        <rFont val="Arial"/>
        <family val="2"/>
      </rPr>
      <t>]</t>
    </r>
  </si>
  <si>
    <r>
      <t>Nu</t>
    </r>
    <r>
      <rPr>
        <i/>
        <vertAlign val="subscript"/>
        <sz val="12"/>
        <rFont val="Times New Roman"/>
        <family val="1"/>
      </rPr>
      <t>o</t>
    </r>
    <r>
      <rPr>
        <sz val="12"/>
        <rFont val="Arial"/>
        <family val="2"/>
      </rPr>
      <t>[</t>
    </r>
    <r>
      <rPr>
        <sz val="12"/>
        <rFont val="Symbol"/>
        <family val="1"/>
      </rPr>
      <t>-</t>
    </r>
    <r>
      <rPr>
        <sz val="12"/>
        <rFont val="Arial"/>
        <family val="2"/>
      </rPr>
      <t>]</t>
    </r>
  </si>
  <si>
    <r>
      <t>Pr [</t>
    </r>
    <r>
      <rPr>
        <sz val="12"/>
        <color indexed="8"/>
        <rFont val="Symbol"/>
        <family val="1"/>
      </rPr>
      <t>-</t>
    </r>
    <r>
      <rPr>
        <sz val="12"/>
        <color indexed="8"/>
        <rFont val="Arial"/>
        <family val="2"/>
      </rPr>
      <t>]</t>
    </r>
  </si>
  <si>
    <r>
      <t>N</t>
    </r>
    <r>
      <rPr>
        <i/>
        <vertAlign val="subscript"/>
        <sz val="12"/>
        <rFont val="Times New Roman"/>
        <family val="1"/>
      </rPr>
      <t>rop</t>
    </r>
    <r>
      <rPr>
        <sz val="12"/>
        <rFont val="Arial"/>
        <family val="2"/>
      </rPr>
      <t>[</t>
    </r>
    <r>
      <rPr>
        <sz val="12"/>
        <rFont val="Symbol"/>
        <family val="1"/>
      </rPr>
      <t>-</t>
    </r>
    <r>
      <rPr>
        <sz val="12"/>
        <rFont val="Arial"/>
        <family val="2"/>
      </rPr>
      <t>]</t>
    </r>
  </si>
  <si>
    <r>
      <t>N</t>
    </r>
    <r>
      <rPr>
        <i/>
        <vertAlign val="subscript"/>
        <sz val="12"/>
        <rFont val="Times New Roman"/>
        <family val="1"/>
      </rPr>
      <t>ou</t>
    </r>
    <r>
      <rPr>
        <sz val="12"/>
        <rFont val="Arial"/>
        <family val="2"/>
      </rPr>
      <t xml:space="preserve"> [</t>
    </r>
    <r>
      <rPr>
        <sz val="12"/>
        <rFont val="Symbol"/>
        <family val="1"/>
      </rPr>
      <t>-</t>
    </r>
    <r>
      <rPr>
        <sz val="12"/>
        <rFont val="Arial"/>
        <family val="2"/>
      </rPr>
      <t>]</t>
    </r>
  </si>
  <si>
    <r>
      <t>N</t>
    </r>
    <r>
      <rPr>
        <i/>
        <vertAlign val="subscript"/>
        <sz val="12"/>
        <rFont val="Times New Roman"/>
        <family val="1"/>
      </rPr>
      <t>rp</t>
    </r>
    <r>
      <rPr>
        <sz val="12"/>
        <rFont val="Arial"/>
        <family val="2"/>
      </rPr>
      <t xml:space="preserve"> [</t>
    </r>
    <r>
      <rPr>
        <sz val="12"/>
        <rFont val="Symbol"/>
        <family val="1"/>
      </rPr>
      <t>-</t>
    </r>
    <r>
      <rPr>
        <sz val="12"/>
        <rFont val="Arial"/>
        <family val="2"/>
      </rPr>
      <t>]</t>
    </r>
  </si>
  <si>
    <r>
      <t>N</t>
    </r>
    <r>
      <rPr>
        <i/>
        <vertAlign val="subscript"/>
        <sz val="12"/>
        <rFont val="Times New Roman"/>
        <family val="1"/>
      </rPr>
      <t>kp</t>
    </r>
    <r>
      <rPr>
        <sz val="12"/>
        <rFont val="Arial"/>
        <family val="2"/>
      </rPr>
      <t xml:space="preserve"> [</t>
    </r>
    <r>
      <rPr>
        <sz val="12"/>
        <rFont val="Symbol"/>
        <family val="1"/>
      </rPr>
      <t>-</t>
    </r>
    <r>
      <rPr>
        <sz val="12"/>
        <rFont val="Arial"/>
        <family val="2"/>
      </rPr>
      <t>]</t>
    </r>
  </si>
  <si>
    <r>
      <t xml:space="preserve">Re </t>
    </r>
    <r>
      <rPr>
        <sz val="12"/>
        <color indexed="8"/>
        <rFont val="Arial"/>
        <family val="2"/>
      </rPr>
      <t>[</t>
    </r>
    <r>
      <rPr>
        <sz val="12"/>
        <color indexed="8"/>
        <rFont val="Symbol"/>
        <family val="1"/>
      </rPr>
      <t>-</t>
    </r>
    <r>
      <rPr>
        <sz val="12"/>
        <color indexed="8"/>
        <rFont val="Arial"/>
        <family val="2"/>
      </rPr>
      <t>]</t>
    </r>
  </si>
  <si>
    <r>
      <t>n</t>
    </r>
    <r>
      <rPr>
        <i/>
        <vertAlign val="subscript"/>
        <sz val="12"/>
        <color indexed="8"/>
        <rFont val="Times New Roman"/>
        <family val="1"/>
      </rPr>
      <t>t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Arial"/>
        <family val="0"/>
      </rPr>
      <t>[</t>
    </r>
    <r>
      <rPr>
        <sz val="11"/>
        <color indexed="8"/>
        <rFont val="Symbol"/>
        <family val="1"/>
      </rPr>
      <t>-</t>
    </r>
    <r>
      <rPr>
        <sz val="11"/>
        <color indexed="8"/>
        <rFont val="Arial"/>
        <family val="0"/>
      </rPr>
      <t>]</t>
    </r>
  </si>
  <si>
    <r>
      <t>Re</t>
    </r>
    <r>
      <rPr>
        <i/>
        <vertAlign val="subscript"/>
        <sz val="12"/>
        <rFont val="Times New Roman"/>
        <family val="1"/>
      </rPr>
      <t>t</t>
    </r>
    <r>
      <rPr>
        <sz val="11"/>
        <rFont val="Arial"/>
        <family val="0"/>
      </rPr>
      <t xml:space="preserve"> [</t>
    </r>
    <r>
      <rPr>
        <sz val="11"/>
        <rFont val="Symbol"/>
        <family val="1"/>
      </rPr>
      <t>-</t>
    </r>
    <r>
      <rPr>
        <sz val="11"/>
        <rFont val="Arial"/>
        <family val="0"/>
      </rPr>
      <t>]</t>
    </r>
  </si>
  <si>
    <r>
      <t>e</t>
    </r>
    <r>
      <rPr>
        <vertAlign val="subscript"/>
        <sz val="12"/>
        <rFont val="Times New Roman"/>
        <family val="1"/>
      </rPr>
      <t>1</t>
    </r>
    <r>
      <rPr>
        <sz val="11"/>
        <rFont val="Arial"/>
        <family val="0"/>
      </rPr>
      <t xml:space="preserve"> [</t>
    </r>
    <r>
      <rPr>
        <sz val="11"/>
        <rFont val="Symbol"/>
        <family val="1"/>
      </rPr>
      <t>-</t>
    </r>
    <r>
      <rPr>
        <sz val="11"/>
        <rFont val="Arial"/>
        <family val="0"/>
      </rPr>
      <t>]</t>
    </r>
  </si>
  <si>
    <r>
      <t>e</t>
    </r>
    <r>
      <rPr>
        <vertAlign val="subscript"/>
        <sz val="12"/>
        <rFont val="Times New Roman"/>
        <family val="1"/>
      </rPr>
      <t>2</t>
    </r>
    <r>
      <rPr>
        <sz val="11"/>
        <rFont val="Arial"/>
        <family val="0"/>
      </rPr>
      <t xml:space="preserve"> [</t>
    </r>
    <r>
      <rPr>
        <sz val="11"/>
        <rFont val="Symbol"/>
        <family val="1"/>
      </rPr>
      <t>-</t>
    </r>
    <r>
      <rPr>
        <sz val="11"/>
        <rFont val="Arial"/>
        <family val="0"/>
      </rPr>
      <t>]</t>
    </r>
  </si>
  <si>
    <r>
      <t>e</t>
    </r>
    <r>
      <rPr>
        <sz val="11"/>
        <rFont val="Arial"/>
        <family val="0"/>
      </rPr>
      <t xml:space="preserve"> [</t>
    </r>
    <r>
      <rPr>
        <sz val="11"/>
        <rFont val="Symbol"/>
        <family val="1"/>
      </rPr>
      <t>-</t>
    </r>
    <r>
      <rPr>
        <sz val="11"/>
        <rFont val="Arial"/>
        <family val="0"/>
      </rPr>
      <t>]</t>
    </r>
  </si>
  <si>
    <r>
      <t>Nu</t>
    </r>
    <r>
      <rPr>
        <i/>
        <vertAlign val="subscript"/>
        <sz val="12"/>
        <rFont val="Times New Roman"/>
        <family val="1"/>
      </rPr>
      <t>id</t>
    </r>
    <r>
      <rPr>
        <sz val="11"/>
        <rFont val="Arial"/>
        <family val="0"/>
      </rPr>
      <t xml:space="preserve"> [</t>
    </r>
    <r>
      <rPr>
        <sz val="11"/>
        <rFont val="Symbol"/>
        <family val="1"/>
      </rPr>
      <t>-</t>
    </r>
    <r>
      <rPr>
        <sz val="11"/>
        <rFont val="Arial"/>
        <family val="0"/>
      </rPr>
      <t>]</t>
    </r>
  </si>
  <si>
    <r>
      <t>N</t>
    </r>
    <r>
      <rPr>
        <i/>
        <vertAlign val="subscript"/>
        <sz val="12"/>
        <rFont val="Times New Roman"/>
        <family val="1"/>
      </rPr>
      <t>rpu</t>
    </r>
    <r>
      <rPr>
        <sz val="11"/>
        <rFont val="Arial"/>
        <family val="2"/>
      </rPr>
      <t xml:space="preserve"> </t>
    </r>
    <r>
      <rPr>
        <sz val="11"/>
        <rFont val="Arial"/>
        <family val="0"/>
      </rPr>
      <t>[</t>
    </r>
    <r>
      <rPr>
        <sz val="11"/>
        <rFont val="Symbol"/>
        <family val="1"/>
      </rPr>
      <t>-</t>
    </r>
    <r>
      <rPr>
        <sz val="11"/>
        <rFont val="Arial"/>
        <family val="0"/>
      </rPr>
      <t>]</t>
    </r>
  </si>
  <si>
    <r>
      <t>f</t>
    </r>
    <r>
      <rPr>
        <i/>
        <vertAlign val="subscript"/>
        <sz val="12"/>
        <rFont val="Times New Roman"/>
        <family val="1"/>
      </rPr>
      <t>o</t>
    </r>
    <r>
      <rPr>
        <sz val="11"/>
        <rFont val="Arial"/>
        <family val="0"/>
      </rPr>
      <t xml:space="preserve"> [</t>
    </r>
    <r>
      <rPr>
        <sz val="11"/>
        <rFont val="Symbol"/>
        <family val="1"/>
      </rPr>
      <t>-</t>
    </r>
    <r>
      <rPr>
        <sz val="11"/>
        <rFont val="Arial"/>
        <family val="0"/>
      </rPr>
      <t>]</t>
    </r>
  </si>
  <si>
    <r>
      <t>f</t>
    </r>
    <r>
      <rPr>
        <i/>
        <vertAlign val="subscript"/>
        <sz val="12"/>
        <rFont val="Times New Roman"/>
        <family val="1"/>
      </rPr>
      <t>AE</t>
    </r>
    <r>
      <rPr>
        <sz val="11"/>
        <rFont val="Arial"/>
        <family val="0"/>
      </rPr>
      <t xml:space="preserve"> [</t>
    </r>
    <r>
      <rPr>
        <sz val="11"/>
        <rFont val="Symbol"/>
        <family val="1"/>
      </rPr>
      <t>-</t>
    </r>
    <r>
      <rPr>
        <sz val="11"/>
        <rFont val="Arial"/>
        <family val="0"/>
      </rPr>
      <t>]</t>
    </r>
  </si>
  <si>
    <r>
      <t>f</t>
    </r>
    <r>
      <rPr>
        <i/>
        <vertAlign val="subscript"/>
        <sz val="12"/>
        <rFont val="Times New Roman"/>
        <family val="1"/>
      </rPr>
      <t>CF</t>
    </r>
    <r>
      <rPr>
        <sz val="11"/>
        <rFont val="Arial"/>
        <family val="0"/>
      </rPr>
      <t xml:space="preserve"> [</t>
    </r>
    <r>
      <rPr>
        <sz val="11"/>
        <rFont val="Symbol"/>
        <family val="1"/>
      </rPr>
      <t>-</t>
    </r>
    <r>
      <rPr>
        <sz val="11"/>
        <rFont val="Arial"/>
        <family val="0"/>
      </rPr>
      <t>]</t>
    </r>
  </si>
  <si>
    <r>
      <t>f</t>
    </r>
    <r>
      <rPr>
        <i/>
        <vertAlign val="subscript"/>
        <sz val="12"/>
        <rFont val="Times New Roman"/>
        <family val="1"/>
      </rPr>
      <t>PK</t>
    </r>
    <r>
      <rPr>
        <sz val="11"/>
        <rFont val="Arial"/>
        <family val="0"/>
      </rPr>
      <t xml:space="preserve"> [</t>
    </r>
    <r>
      <rPr>
        <sz val="11"/>
        <rFont val="Symbol"/>
        <family val="1"/>
      </rPr>
      <t>-</t>
    </r>
    <r>
      <rPr>
        <sz val="11"/>
        <rFont val="Arial"/>
        <family val="0"/>
      </rPr>
      <t>]</t>
    </r>
  </si>
  <si>
    <r>
      <t>f</t>
    </r>
    <r>
      <rPr>
        <i/>
        <vertAlign val="subscript"/>
        <sz val="12"/>
        <rFont val="Times New Roman"/>
        <family val="1"/>
      </rPr>
      <t>lam</t>
    </r>
    <r>
      <rPr>
        <sz val="11"/>
        <rFont val="Arial"/>
        <family val="0"/>
      </rPr>
      <t xml:space="preserve"> [</t>
    </r>
    <r>
      <rPr>
        <sz val="11"/>
        <rFont val="Symbol"/>
        <family val="1"/>
      </rPr>
      <t>-</t>
    </r>
    <r>
      <rPr>
        <sz val="11"/>
        <rFont val="Arial"/>
        <family val="0"/>
      </rPr>
      <t>]</t>
    </r>
  </si>
  <si>
    <r>
      <t>f</t>
    </r>
    <r>
      <rPr>
        <i/>
        <vertAlign val="subscript"/>
        <sz val="12"/>
        <rFont val="Times New Roman"/>
        <family val="1"/>
      </rPr>
      <t>tot</t>
    </r>
    <r>
      <rPr>
        <sz val="11"/>
        <rFont val="Arial"/>
        <family val="0"/>
      </rPr>
      <t xml:space="preserve"> [</t>
    </r>
    <r>
      <rPr>
        <sz val="11"/>
        <rFont val="Symbol"/>
        <family val="1"/>
      </rPr>
      <t>-</t>
    </r>
    <r>
      <rPr>
        <sz val="11"/>
        <rFont val="Arial"/>
        <family val="0"/>
      </rPr>
      <t>]</t>
    </r>
  </si>
  <si>
    <r>
      <t>b</t>
    </r>
    <r>
      <rPr>
        <vertAlign val="subscript"/>
        <sz val="12"/>
        <rFont val="Times New Roman"/>
        <family val="1"/>
      </rPr>
      <t>1</t>
    </r>
    <r>
      <rPr>
        <sz val="11"/>
        <rFont val="Arial"/>
        <family val="0"/>
      </rPr>
      <t xml:space="preserve"> [</t>
    </r>
    <r>
      <rPr>
        <sz val="11"/>
        <rFont val="Symbol"/>
        <family val="1"/>
      </rPr>
      <t>-</t>
    </r>
    <r>
      <rPr>
        <sz val="11"/>
        <rFont val="Arial"/>
        <family val="0"/>
      </rPr>
      <t>]</t>
    </r>
  </si>
  <si>
    <r>
      <t>b</t>
    </r>
    <r>
      <rPr>
        <vertAlign val="subscript"/>
        <sz val="12"/>
        <rFont val="Times New Roman"/>
        <family val="1"/>
      </rPr>
      <t>2</t>
    </r>
    <r>
      <rPr>
        <sz val="11"/>
        <rFont val="Arial"/>
        <family val="0"/>
      </rPr>
      <t xml:space="preserve"> [</t>
    </r>
    <r>
      <rPr>
        <sz val="11"/>
        <rFont val="Symbol"/>
        <family val="1"/>
      </rPr>
      <t>-</t>
    </r>
    <r>
      <rPr>
        <sz val="11"/>
        <rFont val="Arial"/>
        <family val="0"/>
      </rPr>
      <t>]</t>
    </r>
  </si>
  <si>
    <r>
      <t>b</t>
    </r>
    <r>
      <rPr>
        <sz val="11"/>
        <rFont val="Arial"/>
        <family val="0"/>
      </rPr>
      <t xml:space="preserve"> [</t>
    </r>
    <r>
      <rPr>
        <sz val="11"/>
        <rFont val="Symbol"/>
        <family val="1"/>
      </rPr>
      <t>-</t>
    </r>
    <r>
      <rPr>
        <sz val="11"/>
        <rFont val="Arial"/>
        <family val="0"/>
      </rPr>
      <t>]</t>
    </r>
  </si>
  <si>
    <r>
      <t>f</t>
    </r>
    <r>
      <rPr>
        <i/>
        <vertAlign val="subscript"/>
        <sz val="12"/>
        <color indexed="8"/>
        <rFont val="Times New Roman"/>
        <family val="1"/>
      </rPr>
      <t>iM</t>
    </r>
    <r>
      <rPr>
        <sz val="11"/>
        <color indexed="8"/>
        <rFont val="Arial"/>
        <family val="0"/>
      </rPr>
      <t xml:space="preserve"> [</t>
    </r>
    <r>
      <rPr>
        <sz val="11"/>
        <color indexed="8"/>
        <rFont val="Symbol"/>
        <family val="1"/>
      </rPr>
      <t>-</t>
    </r>
    <r>
      <rPr>
        <sz val="11"/>
        <color indexed="8"/>
        <rFont val="Arial"/>
        <family val="0"/>
      </rPr>
      <t>]</t>
    </r>
  </si>
  <si>
    <r>
      <t>f</t>
    </r>
    <r>
      <rPr>
        <i/>
        <vertAlign val="subscript"/>
        <sz val="12"/>
        <color indexed="8"/>
        <rFont val="Times New Roman"/>
        <family val="1"/>
      </rPr>
      <t>CF</t>
    </r>
    <r>
      <rPr>
        <sz val="11"/>
        <color indexed="8"/>
        <rFont val="Arial"/>
        <family val="0"/>
      </rPr>
      <t xml:space="preserve"> [</t>
    </r>
    <r>
      <rPr>
        <sz val="11"/>
        <color indexed="8"/>
        <rFont val="Symbol"/>
        <family val="1"/>
      </rPr>
      <t>-</t>
    </r>
    <r>
      <rPr>
        <sz val="11"/>
        <color indexed="8"/>
        <rFont val="Arial"/>
        <family val="0"/>
      </rPr>
      <t>]</t>
    </r>
  </si>
  <si>
    <r>
      <t>f</t>
    </r>
    <r>
      <rPr>
        <i/>
        <vertAlign val="subscript"/>
        <sz val="12"/>
        <color indexed="8"/>
        <rFont val="Times New Roman"/>
        <family val="1"/>
      </rPr>
      <t>AE</t>
    </r>
    <r>
      <rPr>
        <sz val="11"/>
        <color indexed="8"/>
        <rFont val="Arial"/>
        <family val="0"/>
      </rPr>
      <t xml:space="preserve"> [</t>
    </r>
    <r>
      <rPr>
        <sz val="11"/>
        <color indexed="8"/>
        <rFont val="Symbol"/>
        <family val="1"/>
      </rPr>
      <t>-</t>
    </r>
    <r>
      <rPr>
        <sz val="11"/>
        <color indexed="8"/>
        <rFont val="Arial"/>
        <family val="0"/>
      </rPr>
      <t>]</t>
    </r>
  </si>
  <si>
    <r>
      <t>f</t>
    </r>
    <r>
      <rPr>
        <i/>
        <vertAlign val="subscript"/>
        <sz val="12"/>
        <color indexed="8"/>
        <rFont val="Times New Roman"/>
        <family val="1"/>
      </rPr>
      <t>PK</t>
    </r>
    <r>
      <rPr>
        <sz val="11"/>
        <color indexed="8"/>
        <rFont val="Arial"/>
        <family val="0"/>
      </rPr>
      <t xml:space="preserve"> [</t>
    </r>
    <r>
      <rPr>
        <sz val="11"/>
        <color indexed="8"/>
        <rFont val="Symbol"/>
        <family val="1"/>
      </rPr>
      <t>-</t>
    </r>
    <r>
      <rPr>
        <sz val="11"/>
        <color indexed="8"/>
        <rFont val="Arial"/>
        <family val="0"/>
      </rPr>
      <t>]</t>
    </r>
  </si>
  <si>
    <r>
      <t>f</t>
    </r>
    <r>
      <rPr>
        <i/>
        <vertAlign val="subscript"/>
        <sz val="12"/>
        <color indexed="8"/>
        <rFont val="Times New Roman"/>
        <family val="1"/>
      </rPr>
      <t>iO</t>
    </r>
    <r>
      <rPr>
        <sz val="11"/>
        <color indexed="8"/>
        <rFont val="Arial"/>
        <family val="0"/>
      </rPr>
      <t xml:space="preserve"> [</t>
    </r>
    <r>
      <rPr>
        <sz val="11"/>
        <color indexed="8"/>
        <rFont val="Symbol"/>
        <family val="1"/>
      </rPr>
      <t>-</t>
    </r>
    <r>
      <rPr>
        <sz val="11"/>
        <color indexed="8"/>
        <rFont val="Arial"/>
        <family val="0"/>
      </rPr>
      <t>]</t>
    </r>
  </si>
  <si>
    <r>
      <t>x</t>
    </r>
    <r>
      <rPr>
        <i/>
        <vertAlign val="subscript"/>
        <sz val="12"/>
        <color indexed="8"/>
        <rFont val="Arial"/>
        <family val="2"/>
      </rPr>
      <t>o</t>
    </r>
    <r>
      <rPr>
        <sz val="11"/>
        <color indexed="8"/>
        <rFont val="Arial"/>
        <family val="0"/>
      </rPr>
      <t xml:space="preserve"> [</t>
    </r>
    <r>
      <rPr>
        <sz val="11"/>
        <color indexed="8"/>
        <rFont val="Symbol"/>
        <family val="1"/>
      </rPr>
      <t>-</t>
    </r>
    <r>
      <rPr>
        <sz val="11"/>
        <color indexed="8"/>
        <rFont val="Arial"/>
        <family val="0"/>
      </rPr>
      <t>]</t>
    </r>
  </si>
  <si>
    <r>
      <t>x</t>
    </r>
    <r>
      <rPr>
        <i/>
        <vertAlign val="subscript"/>
        <sz val="12"/>
        <color indexed="8"/>
        <rFont val="Arial"/>
        <family val="2"/>
      </rPr>
      <t>pK</t>
    </r>
    <r>
      <rPr>
        <sz val="11"/>
        <color indexed="8"/>
        <rFont val="Arial"/>
        <family val="0"/>
      </rPr>
      <t xml:space="preserve"> [</t>
    </r>
    <r>
      <rPr>
        <sz val="11"/>
        <color indexed="8"/>
        <rFont val="Symbol"/>
        <family val="1"/>
      </rPr>
      <t>-</t>
    </r>
    <r>
      <rPr>
        <sz val="11"/>
        <color indexed="8"/>
        <rFont val="Arial"/>
        <family val="0"/>
      </rPr>
      <t>]</t>
    </r>
  </si>
  <si>
    <r>
      <t>f</t>
    </r>
    <r>
      <rPr>
        <i/>
        <vertAlign val="subscript"/>
        <sz val="12"/>
        <color indexed="8"/>
        <rFont val="Times New Roman"/>
        <family val="1"/>
      </rPr>
      <t>BK</t>
    </r>
    <r>
      <rPr>
        <sz val="11"/>
        <color indexed="8"/>
        <rFont val="Arial"/>
        <family val="0"/>
      </rPr>
      <t xml:space="preserve"> [</t>
    </r>
    <r>
      <rPr>
        <sz val="11"/>
        <color indexed="8"/>
        <rFont val="Symbol"/>
        <family val="1"/>
      </rPr>
      <t>-</t>
    </r>
    <r>
      <rPr>
        <sz val="11"/>
        <color indexed="8"/>
        <rFont val="Arial"/>
        <family val="0"/>
      </rPr>
      <t>]</t>
    </r>
  </si>
  <si>
    <r>
      <t>f</t>
    </r>
    <r>
      <rPr>
        <i/>
        <vertAlign val="subscript"/>
        <sz val="12"/>
        <color indexed="8"/>
        <rFont val="Times New Roman"/>
        <family val="1"/>
      </rPr>
      <t>L</t>
    </r>
    <r>
      <rPr>
        <sz val="11"/>
        <color indexed="8"/>
        <rFont val="Arial"/>
        <family val="0"/>
      </rPr>
      <t xml:space="preserve"> [</t>
    </r>
    <r>
      <rPr>
        <sz val="11"/>
        <color indexed="8"/>
        <rFont val="Symbol"/>
        <family val="1"/>
      </rPr>
      <t>-</t>
    </r>
    <r>
      <rPr>
        <sz val="11"/>
        <color indexed="8"/>
        <rFont val="Arial"/>
        <family val="0"/>
      </rPr>
      <t>]</t>
    </r>
  </si>
  <si>
    <r>
      <t>x</t>
    </r>
    <r>
      <rPr>
        <i/>
        <vertAlign val="subscript"/>
        <sz val="12"/>
        <color indexed="8"/>
        <rFont val="Arial"/>
        <family val="2"/>
      </rPr>
      <t>pM</t>
    </r>
    <r>
      <rPr>
        <sz val="11"/>
        <color indexed="8"/>
        <rFont val="Arial"/>
        <family val="0"/>
      </rPr>
      <t xml:space="preserve"> [</t>
    </r>
    <r>
      <rPr>
        <sz val="11"/>
        <color indexed="8"/>
        <rFont val="Symbol"/>
        <family val="1"/>
      </rPr>
      <t>-</t>
    </r>
    <r>
      <rPr>
        <sz val="11"/>
        <color indexed="8"/>
        <rFont val="Arial"/>
        <family val="0"/>
      </rPr>
      <t>]</t>
    </r>
  </si>
  <si>
    <r>
      <t>f</t>
    </r>
    <r>
      <rPr>
        <i/>
        <vertAlign val="subscript"/>
        <sz val="12"/>
        <color indexed="8"/>
        <rFont val="Times New Roman"/>
        <family val="1"/>
      </rPr>
      <t>BM</t>
    </r>
    <r>
      <rPr>
        <sz val="11"/>
        <color indexed="8"/>
        <rFont val="Arial"/>
        <family val="0"/>
      </rPr>
      <t xml:space="preserve"> [</t>
    </r>
    <r>
      <rPr>
        <sz val="11"/>
        <color indexed="8"/>
        <rFont val="Symbol"/>
        <family val="1"/>
      </rPr>
      <t>-</t>
    </r>
    <r>
      <rPr>
        <sz val="11"/>
        <color indexed="8"/>
        <rFont val="Arial"/>
        <family val="0"/>
      </rPr>
      <t>]</t>
    </r>
  </si>
  <si>
    <r>
      <t>f</t>
    </r>
    <r>
      <rPr>
        <i/>
        <vertAlign val="subscript"/>
        <sz val="12"/>
        <color indexed="8"/>
        <rFont val="Times New Roman"/>
        <family val="1"/>
      </rPr>
      <t>q</t>
    </r>
    <r>
      <rPr>
        <i/>
        <sz val="12"/>
        <color indexed="8"/>
        <rFont val="Times New Roman"/>
        <family val="1"/>
      </rPr>
      <t xml:space="preserve"> </t>
    </r>
    <r>
      <rPr>
        <sz val="11"/>
        <color indexed="8"/>
        <rFont val="Arial"/>
        <family val="0"/>
      </rPr>
      <t>[</t>
    </r>
    <r>
      <rPr>
        <sz val="11"/>
        <color indexed="8"/>
        <rFont val="Symbol"/>
        <family val="1"/>
      </rPr>
      <t>-</t>
    </r>
    <r>
      <rPr>
        <sz val="11"/>
        <color indexed="8"/>
        <rFont val="Arial"/>
        <family val="0"/>
      </rPr>
      <t>]</t>
    </r>
  </si>
  <si>
    <r>
      <t>Re</t>
    </r>
    <r>
      <rPr>
        <vertAlign val="subscript"/>
        <sz val="12"/>
        <color indexed="8"/>
        <rFont val="Times New Roman"/>
        <family val="1"/>
      </rPr>
      <t>2</t>
    </r>
    <r>
      <rPr>
        <sz val="10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>[</t>
    </r>
    <r>
      <rPr>
        <sz val="11"/>
        <color indexed="8"/>
        <rFont val="Symbol"/>
        <family val="1"/>
      </rPr>
      <t>-</t>
    </r>
    <r>
      <rPr>
        <sz val="11"/>
        <color indexed="8"/>
        <rFont val="Arial"/>
        <family val="2"/>
      </rPr>
      <t>]</t>
    </r>
  </si>
  <si>
    <r>
      <t>Re</t>
    </r>
    <r>
      <rPr>
        <vertAlign val="subscript"/>
        <sz val="12"/>
        <color indexed="8"/>
        <rFont val="Times New Roman"/>
        <family val="1"/>
      </rPr>
      <t>1</t>
    </r>
    <r>
      <rPr>
        <sz val="10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>[</t>
    </r>
    <r>
      <rPr>
        <sz val="11"/>
        <color indexed="8"/>
        <rFont val="Symbol"/>
        <family val="1"/>
      </rPr>
      <t>-</t>
    </r>
    <r>
      <rPr>
        <sz val="11"/>
        <color indexed="8"/>
        <rFont val="Arial"/>
        <family val="2"/>
      </rPr>
      <t>]</t>
    </r>
  </si>
  <si>
    <r>
      <t>Re</t>
    </r>
    <r>
      <rPr>
        <i/>
        <vertAlign val="subscript"/>
        <sz val="12"/>
        <color indexed="8"/>
        <rFont val="Times New Roman"/>
        <family val="1"/>
      </rPr>
      <t>K</t>
    </r>
    <r>
      <rPr>
        <sz val="10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>[</t>
    </r>
    <r>
      <rPr>
        <sz val="11"/>
        <color indexed="8"/>
        <rFont val="Symbol"/>
        <family val="1"/>
      </rPr>
      <t>-</t>
    </r>
    <r>
      <rPr>
        <sz val="11"/>
        <color indexed="8"/>
        <rFont val="Arial"/>
        <family val="2"/>
      </rPr>
      <t>]</t>
    </r>
  </si>
  <si>
    <r>
      <t>Re</t>
    </r>
    <r>
      <rPr>
        <i/>
        <vertAlign val="subscript"/>
        <sz val="12"/>
        <color indexed="8"/>
        <rFont val="Times New Roman"/>
        <family val="1"/>
      </rPr>
      <t>M</t>
    </r>
    <r>
      <rPr>
        <sz val="10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>[</t>
    </r>
    <r>
      <rPr>
        <sz val="11"/>
        <color indexed="8"/>
        <rFont val="Symbol"/>
        <family val="1"/>
      </rPr>
      <t>-</t>
    </r>
    <r>
      <rPr>
        <sz val="11"/>
        <color indexed="8"/>
        <rFont val="Arial"/>
        <family val="2"/>
      </rPr>
      <t>]</t>
    </r>
  </si>
  <si>
    <r>
      <t>N</t>
    </r>
    <r>
      <rPr>
        <i/>
        <vertAlign val="subscript"/>
        <sz val="12"/>
        <rFont val="Times New Roman"/>
        <family val="1"/>
      </rPr>
      <t>ru</t>
    </r>
    <r>
      <rPr>
        <sz val="12"/>
        <rFont val="Arial"/>
        <family val="2"/>
      </rPr>
      <t xml:space="preserve"> [</t>
    </r>
    <r>
      <rPr>
        <sz val="12"/>
        <rFont val="Symbol"/>
        <family val="1"/>
      </rPr>
      <t>-</t>
    </r>
    <r>
      <rPr>
        <sz val="12"/>
        <rFont val="Arial"/>
        <family val="2"/>
      </rPr>
      <t>]</t>
    </r>
  </si>
  <si>
    <r>
      <t>N</t>
    </r>
    <r>
      <rPr>
        <i/>
        <vertAlign val="subscript"/>
        <sz val="12"/>
        <rFont val="Times New Roman"/>
        <family val="1"/>
      </rPr>
      <t>ku</t>
    </r>
    <r>
      <rPr>
        <sz val="12"/>
        <rFont val="Arial"/>
        <family val="2"/>
      </rPr>
      <t xml:space="preserve"> [</t>
    </r>
    <r>
      <rPr>
        <sz val="12"/>
        <rFont val="Symbol"/>
        <family val="1"/>
      </rPr>
      <t>-</t>
    </r>
    <r>
      <rPr>
        <sz val="12"/>
        <rFont val="Arial"/>
        <family val="2"/>
      </rPr>
      <t>]</t>
    </r>
  </si>
  <si>
    <r>
      <t>z</t>
    </r>
    <r>
      <rPr>
        <i/>
        <vertAlign val="subscript"/>
        <sz val="12"/>
        <rFont val="Times New Roman"/>
        <family val="1"/>
      </rPr>
      <t>r</t>
    </r>
    <r>
      <rPr>
        <sz val="12"/>
        <rFont val="Arial"/>
        <family val="2"/>
      </rPr>
      <t xml:space="preserve"> [</t>
    </r>
    <r>
      <rPr>
        <sz val="12"/>
        <rFont val="Symbol"/>
        <family val="1"/>
      </rPr>
      <t>-</t>
    </r>
    <r>
      <rPr>
        <sz val="12"/>
        <rFont val="Arial"/>
        <family val="2"/>
      </rPr>
      <t>]</t>
    </r>
  </si>
  <si>
    <r>
      <t>z</t>
    </r>
    <r>
      <rPr>
        <i/>
        <vertAlign val="subscript"/>
        <sz val="12"/>
        <rFont val="Times New Roman"/>
        <family val="1"/>
      </rPr>
      <t>o</t>
    </r>
    <r>
      <rPr>
        <sz val="12"/>
        <rFont val="Arial"/>
        <family val="2"/>
      </rPr>
      <t xml:space="preserve"> [</t>
    </r>
    <r>
      <rPr>
        <sz val="12"/>
        <rFont val="Symbol"/>
        <family val="1"/>
      </rPr>
      <t>-</t>
    </r>
    <r>
      <rPr>
        <sz val="12"/>
        <rFont val="Arial"/>
        <family val="2"/>
      </rPr>
      <t>]</t>
    </r>
  </si>
  <si>
    <r>
      <t>n</t>
    </r>
    <r>
      <rPr>
        <i/>
        <vertAlign val="subscript"/>
        <sz val="12"/>
        <rFont val="Times New Roman"/>
        <family val="1"/>
      </rPr>
      <t>o</t>
    </r>
    <r>
      <rPr>
        <sz val="12"/>
        <rFont val="Arial"/>
        <family val="2"/>
      </rPr>
      <t xml:space="preserve"> [</t>
    </r>
    <r>
      <rPr>
        <sz val="12"/>
        <rFont val="Symbol"/>
        <family val="1"/>
      </rPr>
      <t>-</t>
    </r>
    <r>
      <rPr>
        <sz val="12"/>
        <rFont val="Arial"/>
        <family val="2"/>
      </rPr>
      <t>]</t>
    </r>
  </si>
  <si>
    <r>
      <t>N</t>
    </r>
    <r>
      <rPr>
        <i/>
        <vertAlign val="subscript"/>
        <sz val="12"/>
        <rFont val="Times New Roman"/>
        <family val="1"/>
      </rPr>
      <t>ro</t>
    </r>
    <r>
      <rPr>
        <sz val="12"/>
        <rFont val="Arial"/>
        <family val="2"/>
      </rPr>
      <t xml:space="preserve"> [</t>
    </r>
    <r>
      <rPr>
        <sz val="12"/>
        <rFont val="Symbol"/>
        <family val="1"/>
      </rPr>
      <t>-</t>
    </r>
    <r>
      <rPr>
        <sz val="12"/>
        <rFont val="Arial"/>
        <family val="2"/>
      </rPr>
      <t>]</t>
    </r>
  </si>
  <si>
    <r>
      <t>z</t>
    </r>
    <r>
      <rPr>
        <i/>
        <vertAlign val="subscript"/>
        <sz val="12"/>
        <rFont val="Times New Roman"/>
        <family val="1"/>
      </rPr>
      <t>p</t>
    </r>
    <r>
      <rPr>
        <sz val="12"/>
        <rFont val="Arial"/>
        <family val="2"/>
      </rPr>
      <t xml:space="preserve"> [</t>
    </r>
    <r>
      <rPr>
        <sz val="12"/>
        <rFont val="Symbol"/>
        <family val="1"/>
      </rPr>
      <t>-</t>
    </r>
    <r>
      <rPr>
        <sz val="12"/>
        <rFont val="Arial"/>
        <family val="2"/>
      </rPr>
      <t>]</t>
    </r>
  </si>
  <si>
    <r>
      <t>x</t>
    </r>
    <r>
      <rPr>
        <i/>
        <vertAlign val="subscript"/>
        <sz val="12"/>
        <color indexed="8"/>
        <rFont val="Arial"/>
        <family val="2"/>
      </rPr>
      <t>pr</t>
    </r>
    <r>
      <rPr>
        <sz val="11"/>
        <color indexed="8"/>
        <rFont val="Arial"/>
        <family val="2"/>
      </rPr>
      <t xml:space="preserve"> [</t>
    </r>
    <r>
      <rPr>
        <sz val="11"/>
        <color indexed="8"/>
        <rFont val="Symbol"/>
        <family val="1"/>
      </rPr>
      <t>-</t>
    </r>
    <r>
      <rPr>
        <sz val="11"/>
        <color indexed="8"/>
        <rFont val="Arial"/>
        <family val="2"/>
      </rPr>
      <t>]</t>
    </r>
  </si>
  <si>
    <r>
      <t>a</t>
    </r>
    <r>
      <rPr>
        <sz val="11"/>
        <rFont val="Arial"/>
        <family val="0"/>
      </rPr>
      <t xml:space="preserve"> [</t>
    </r>
    <r>
      <rPr>
        <sz val="11"/>
        <rFont val="Symbol"/>
        <family val="1"/>
      </rPr>
      <t>-</t>
    </r>
    <r>
      <rPr>
        <sz val="11"/>
        <rFont val="Arial"/>
        <family val="0"/>
      </rPr>
      <t>]</t>
    </r>
  </si>
  <si>
    <r>
      <t>y</t>
    </r>
    <r>
      <rPr>
        <sz val="11"/>
        <rFont val="Arial"/>
        <family val="0"/>
      </rPr>
      <t xml:space="preserve"> [</t>
    </r>
    <r>
      <rPr>
        <sz val="11"/>
        <rFont val="Symbol"/>
        <family val="1"/>
      </rPr>
      <t>-</t>
    </r>
    <r>
      <rPr>
        <sz val="11"/>
        <rFont val="Arial"/>
        <family val="0"/>
      </rPr>
      <t>]</t>
    </r>
  </si>
  <si>
    <r>
      <t>Re</t>
    </r>
    <r>
      <rPr>
        <i/>
        <vertAlign val="subscript"/>
        <sz val="12"/>
        <rFont val="Times New Roman"/>
        <family val="1"/>
      </rPr>
      <t>p</t>
    </r>
    <r>
      <rPr>
        <sz val="11"/>
        <rFont val="Arial"/>
        <family val="0"/>
      </rPr>
      <t xml:space="preserve"> [</t>
    </r>
    <r>
      <rPr>
        <sz val="11"/>
        <rFont val="Symbol"/>
        <family val="1"/>
      </rPr>
      <t>-</t>
    </r>
    <r>
      <rPr>
        <sz val="11"/>
        <rFont val="Arial"/>
        <family val="0"/>
      </rPr>
      <t>]</t>
    </r>
  </si>
  <si>
    <r>
      <t>Nu</t>
    </r>
    <r>
      <rPr>
        <i/>
        <vertAlign val="subscript"/>
        <sz val="12"/>
        <rFont val="Times New Roman"/>
        <family val="1"/>
      </rPr>
      <t>L</t>
    </r>
    <r>
      <rPr>
        <sz val="11"/>
        <rFont val="Arial"/>
        <family val="0"/>
      </rPr>
      <t xml:space="preserve"> [</t>
    </r>
    <r>
      <rPr>
        <sz val="11"/>
        <rFont val="Symbol"/>
        <family val="1"/>
      </rPr>
      <t>-</t>
    </r>
    <r>
      <rPr>
        <sz val="11"/>
        <rFont val="Arial"/>
        <family val="0"/>
      </rPr>
      <t>]</t>
    </r>
  </si>
  <si>
    <r>
      <t>Nu</t>
    </r>
    <r>
      <rPr>
        <i/>
        <vertAlign val="subscript"/>
        <sz val="12"/>
        <rFont val="Times New Roman"/>
        <family val="1"/>
      </rPr>
      <t>T</t>
    </r>
    <r>
      <rPr>
        <sz val="11"/>
        <rFont val="Arial"/>
        <family val="0"/>
      </rPr>
      <t xml:space="preserve"> [</t>
    </r>
    <r>
      <rPr>
        <sz val="11"/>
        <rFont val="Symbol"/>
        <family val="1"/>
      </rPr>
      <t>-</t>
    </r>
    <r>
      <rPr>
        <sz val="11"/>
        <rFont val="Arial"/>
        <family val="0"/>
      </rPr>
      <t>]</t>
    </r>
  </si>
  <si>
    <r>
      <t>f</t>
    </r>
    <r>
      <rPr>
        <i/>
        <vertAlign val="subscript"/>
        <sz val="12"/>
        <rFont val="Times New Roman"/>
        <family val="1"/>
      </rPr>
      <t>S</t>
    </r>
    <r>
      <rPr>
        <sz val="11"/>
        <rFont val="Arial"/>
        <family val="0"/>
      </rPr>
      <t xml:space="preserve"> [</t>
    </r>
    <r>
      <rPr>
        <sz val="11"/>
        <rFont val="Symbol"/>
        <family val="1"/>
      </rPr>
      <t>-</t>
    </r>
    <r>
      <rPr>
        <sz val="11"/>
        <rFont val="Arial"/>
        <family val="0"/>
      </rPr>
      <t>]</t>
    </r>
  </si>
  <si>
    <r>
      <t>f</t>
    </r>
    <r>
      <rPr>
        <i/>
        <vertAlign val="subscript"/>
        <sz val="12"/>
        <rFont val="Times New Roman"/>
        <family val="1"/>
      </rPr>
      <t>N</t>
    </r>
    <r>
      <rPr>
        <sz val="11"/>
        <rFont val="Arial"/>
        <family val="0"/>
      </rPr>
      <t xml:space="preserve"> [</t>
    </r>
    <r>
      <rPr>
        <sz val="11"/>
        <rFont val="Symbol"/>
        <family val="1"/>
      </rPr>
      <t>-</t>
    </r>
    <r>
      <rPr>
        <sz val="11"/>
        <rFont val="Arial"/>
        <family val="0"/>
      </rPr>
      <t>]</t>
    </r>
  </si>
  <si>
    <r>
      <t>f</t>
    </r>
    <r>
      <rPr>
        <i/>
        <vertAlign val="subscript"/>
        <sz val="12"/>
        <rFont val="Times New Roman"/>
        <family val="1"/>
      </rPr>
      <t>U</t>
    </r>
    <r>
      <rPr>
        <sz val="11"/>
        <rFont val="Arial"/>
        <family val="0"/>
      </rPr>
      <t xml:space="preserve"> [</t>
    </r>
    <r>
      <rPr>
        <sz val="11"/>
        <rFont val="Symbol"/>
        <family val="1"/>
      </rPr>
      <t>-</t>
    </r>
    <r>
      <rPr>
        <sz val="11"/>
        <rFont val="Arial"/>
        <family val="0"/>
      </rPr>
      <t>]</t>
    </r>
  </si>
  <si>
    <r>
      <t>f</t>
    </r>
    <r>
      <rPr>
        <i/>
        <vertAlign val="subscript"/>
        <sz val="12"/>
        <rFont val="Times New Roman"/>
        <family val="1"/>
      </rPr>
      <t>B</t>
    </r>
    <r>
      <rPr>
        <sz val="11"/>
        <rFont val="Arial"/>
        <family val="0"/>
      </rPr>
      <t xml:space="preserve"> [</t>
    </r>
    <r>
      <rPr>
        <sz val="11"/>
        <rFont val="Symbol"/>
        <family val="1"/>
      </rPr>
      <t>-</t>
    </r>
    <r>
      <rPr>
        <sz val="11"/>
        <rFont val="Arial"/>
        <family val="0"/>
      </rPr>
      <t>]</t>
    </r>
  </si>
  <si>
    <r>
      <t>f</t>
    </r>
    <r>
      <rPr>
        <i/>
        <vertAlign val="subscript"/>
        <sz val="12"/>
        <rFont val="Times New Roman"/>
        <family val="1"/>
      </rPr>
      <t>L</t>
    </r>
    <r>
      <rPr>
        <sz val="11"/>
        <rFont val="Arial"/>
        <family val="0"/>
      </rPr>
      <t xml:space="preserve"> [</t>
    </r>
    <r>
      <rPr>
        <sz val="11"/>
        <rFont val="Symbol"/>
        <family val="1"/>
      </rPr>
      <t>-</t>
    </r>
    <r>
      <rPr>
        <sz val="11"/>
        <rFont val="Arial"/>
        <family val="0"/>
      </rPr>
      <t>]</t>
    </r>
  </si>
  <si>
    <r>
      <t xml:space="preserve">j </t>
    </r>
    <r>
      <rPr>
        <sz val="12"/>
        <rFont val="Arial"/>
        <family val="0"/>
      </rPr>
      <t>[</t>
    </r>
    <r>
      <rPr>
        <sz val="12"/>
        <rFont val="Symbol"/>
        <family val="1"/>
      </rPr>
      <t>-</t>
    </r>
    <r>
      <rPr>
        <sz val="12"/>
        <rFont val="Arial"/>
        <family val="0"/>
      </rPr>
      <t>]</t>
    </r>
  </si>
  <si>
    <r>
      <t>q</t>
    </r>
    <r>
      <rPr>
        <sz val="12"/>
        <rFont val="Symbol"/>
        <family val="1"/>
      </rPr>
      <t xml:space="preserve"> </t>
    </r>
    <r>
      <rPr>
        <i/>
        <sz val="12"/>
        <rFont val="Times New Roman"/>
        <family val="1"/>
      </rPr>
      <t>= t</t>
    </r>
    <r>
      <rPr>
        <i/>
        <vertAlign val="subscript"/>
        <sz val="12"/>
        <rFont val="Times New Roman"/>
        <family val="1"/>
      </rPr>
      <t>p</t>
    </r>
    <r>
      <rPr>
        <i/>
        <sz val="12"/>
        <rFont val="Times New Roman"/>
        <family val="1"/>
      </rPr>
      <t>'</t>
    </r>
    <r>
      <rPr>
        <i/>
        <sz val="12"/>
        <rFont val="Symbol"/>
        <family val="1"/>
      </rPr>
      <t>-</t>
    </r>
    <r>
      <rPr>
        <i/>
        <sz val="12"/>
        <rFont val="Times New Roman"/>
        <family val="1"/>
      </rPr>
      <t>t</t>
    </r>
    <r>
      <rPr>
        <i/>
        <vertAlign val="subscript"/>
        <sz val="12"/>
        <rFont val="Times New Roman"/>
        <family val="1"/>
      </rPr>
      <t>s</t>
    </r>
    <r>
      <rPr>
        <i/>
        <sz val="12"/>
        <rFont val="Times New Roman"/>
        <family val="1"/>
      </rPr>
      <t>'</t>
    </r>
  </si>
  <si>
    <r>
      <t>kA</t>
    </r>
    <r>
      <rPr>
        <sz val="11"/>
        <rFont val="Arial"/>
        <family val="2"/>
      </rPr>
      <t xml:space="preserve"> [kW/K]</t>
    </r>
  </si>
  <si>
    <r>
      <t>x</t>
    </r>
    <r>
      <rPr>
        <sz val="12"/>
        <rFont val="Arial"/>
        <family val="0"/>
      </rPr>
      <t xml:space="preserve"> [</t>
    </r>
    <r>
      <rPr>
        <sz val="12"/>
        <rFont val="Symbol"/>
        <family val="1"/>
      </rPr>
      <t>-</t>
    </r>
    <r>
      <rPr>
        <sz val="12"/>
        <rFont val="Arial"/>
        <family val="0"/>
      </rPr>
      <t>]</t>
    </r>
  </si>
  <si>
    <r>
      <t>q</t>
    </r>
    <r>
      <rPr>
        <i/>
        <sz val="12"/>
        <rFont val="Times New Roman"/>
        <family val="1"/>
      </rPr>
      <t xml:space="preserve"> = t</t>
    </r>
    <r>
      <rPr>
        <i/>
        <vertAlign val="subscript"/>
        <sz val="12"/>
        <rFont val="Times New Roman"/>
        <family val="1"/>
      </rPr>
      <t>p</t>
    </r>
    <r>
      <rPr>
        <i/>
        <sz val="12"/>
        <rFont val="Times New Roman"/>
        <family val="1"/>
      </rPr>
      <t>'</t>
    </r>
    <r>
      <rPr>
        <i/>
        <sz val="12"/>
        <rFont val="Symbol"/>
        <family val="1"/>
      </rPr>
      <t>-</t>
    </r>
    <r>
      <rPr>
        <i/>
        <sz val="12"/>
        <rFont val="Times New Roman"/>
        <family val="1"/>
      </rPr>
      <t>t</t>
    </r>
    <r>
      <rPr>
        <i/>
        <vertAlign val="subscript"/>
        <sz val="12"/>
        <rFont val="Times New Roman"/>
        <family val="1"/>
      </rPr>
      <t>s</t>
    </r>
    <r>
      <rPr>
        <i/>
        <sz val="12"/>
        <rFont val="Times New Roman"/>
        <family val="1"/>
      </rPr>
      <t>'</t>
    </r>
  </si>
  <si>
    <r>
      <t>d</t>
    </r>
    <r>
      <rPr>
        <i/>
        <vertAlign val="subscript"/>
        <sz val="12"/>
        <rFont val="Times New Roman"/>
        <family val="1"/>
      </rPr>
      <t>u</t>
    </r>
    <r>
      <rPr>
        <sz val="12"/>
        <rFont val="Times New Roman"/>
        <family val="1"/>
      </rPr>
      <t xml:space="preserve"> </t>
    </r>
    <r>
      <rPr>
        <sz val="11"/>
        <rFont val="Arial"/>
        <family val="2"/>
      </rPr>
      <t>[m]</t>
    </r>
  </si>
  <si>
    <r>
      <t>L</t>
    </r>
    <r>
      <rPr>
        <i/>
        <vertAlign val="subscript"/>
        <sz val="12"/>
        <color indexed="8"/>
        <rFont val="Times New Roman"/>
        <family val="1"/>
      </rPr>
      <t>g</t>
    </r>
    <r>
      <rPr>
        <sz val="11"/>
        <color indexed="8"/>
        <rFont val="Arial"/>
        <family val="2"/>
      </rPr>
      <t xml:space="preserve"> [m]</t>
    </r>
  </si>
  <si>
    <r>
      <t>r</t>
    </r>
    <r>
      <rPr>
        <i/>
        <vertAlign val="subscript"/>
        <sz val="12"/>
        <color indexed="8"/>
        <rFont val="Times New Roman"/>
        <family val="1"/>
      </rPr>
      <t>max</t>
    </r>
    <r>
      <rPr>
        <sz val="11"/>
        <color indexed="8"/>
        <rFont val="Arial"/>
        <family val="2"/>
      </rPr>
      <t>[m]</t>
    </r>
  </si>
  <si>
    <r>
      <t>L</t>
    </r>
    <r>
      <rPr>
        <i/>
        <vertAlign val="subscript"/>
        <sz val="12"/>
        <color indexed="8"/>
        <rFont val="Times New Roman"/>
        <family val="1"/>
      </rPr>
      <t>zs</t>
    </r>
    <r>
      <rPr>
        <sz val="11"/>
        <color indexed="8"/>
        <rFont val="Arial"/>
        <family val="2"/>
      </rPr>
      <t xml:space="preserve"> [m]</t>
    </r>
  </si>
  <si>
    <r>
      <t>K</t>
    </r>
    <r>
      <rPr>
        <i/>
        <vertAlign val="subscript"/>
        <sz val="12"/>
        <rFont val="Times New Roman"/>
        <family val="1"/>
      </rPr>
      <t>zs</t>
    </r>
    <r>
      <rPr>
        <sz val="12"/>
        <rFont val="Arial"/>
        <family val="2"/>
      </rPr>
      <t xml:space="preserve"> [</t>
    </r>
    <r>
      <rPr>
        <sz val="12"/>
        <rFont val="Symbol"/>
        <family val="1"/>
      </rPr>
      <t>-</t>
    </r>
    <r>
      <rPr>
        <sz val="12"/>
        <rFont val="Arial"/>
        <family val="2"/>
      </rPr>
      <t>]</t>
    </r>
  </si>
  <si>
    <r>
      <t>x</t>
    </r>
    <r>
      <rPr>
        <i/>
        <vertAlign val="subscript"/>
        <sz val="12"/>
        <color indexed="8"/>
        <rFont val="Arial"/>
        <family val="2"/>
      </rPr>
      <t>zs</t>
    </r>
    <r>
      <rPr>
        <sz val="11"/>
        <color indexed="8"/>
        <rFont val="Arial"/>
        <family val="2"/>
      </rPr>
      <t xml:space="preserve"> [</t>
    </r>
    <r>
      <rPr>
        <sz val="11"/>
        <color indexed="8"/>
        <rFont val="Symbol"/>
        <family val="1"/>
      </rPr>
      <t>-</t>
    </r>
    <r>
      <rPr>
        <sz val="11"/>
        <color indexed="8"/>
        <rFont val="Arial"/>
        <family val="2"/>
      </rPr>
      <t>]</t>
    </r>
  </si>
  <si>
    <r>
      <t>x</t>
    </r>
    <r>
      <rPr>
        <i/>
        <vertAlign val="subscript"/>
        <sz val="12"/>
        <color indexed="8"/>
        <rFont val="Arial"/>
        <family val="2"/>
      </rPr>
      <t>t</t>
    </r>
    <r>
      <rPr>
        <sz val="11"/>
        <color indexed="8"/>
        <rFont val="Arial"/>
        <family val="2"/>
      </rPr>
      <t xml:space="preserve"> [</t>
    </r>
    <r>
      <rPr>
        <sz val="11"/>
        <color indexed="8"/>
        <rFont val="Symbol"/>
        <family val="1"/>
      </rPr>
      <t>-</t>
    </r>
    <r>
      <rPr>
        <sz val="11"/>
        <color indexed="8"/>
        <rFont val="Arial"/>
        <family val="2"/>
      </rPr>
      <t>]</t>
    </r>
  </si>
  <si>
    <r>
      <t>D</t>
    </r>
    <r>
      <rPr>
        <i/>
        <sz val="12"/>
        <rFont val="Times New Roman"/>
        <family val="1"/>
      </rPr>
      <t>p</t>
    </r>
    <r>
      <rPr>
        <i/>
        <vertAlign val="subscript"/>
        <sz val="12"/>
        <rFont val="Times New Roman"/>
        <family val="1"/>
      </rPr>
      <t>zs</t>
    </r>
    <r>
      <rPr>
        <sz val="11"/>
        <rFont val="Arial"/>
        <family val="2"/>
      </rPr>
      <t>[kP</t>
    </r>
    <r>
      <rPr>
        <vertAlign val="subscript"/>
        <sz val="11"/>
        <rFont val="Arial"/>
        <family val="2"/>
      </rPr>
      <t>a</t>
    </r>
    <r>
      <rPr>
        <sz val="11"/>
        <rFont val="Arial"/>
        <family val="2"/>
      </rPr>
      <t>]</t>
    </r>
  </si>
  <si>
    <r>
      <t>L</t>
    </r>
    <r>
      <rPr>
        <sz val="11"/>
        <color indexed="8"/>
        <rFont val="Arial"/>
        <family val="2"/>
      </rPr>
      <t xml:space="preserve"> [m]</t>
    </r>
  </si>
  <si>
    <r>
      <t>D</t>
    </r>
    <r>
      <rPr>
        <i/>
        <sz val="12"/>
        <rFont val="Times New Roman"/>
        <family val="1"/>
      </rPr>
      <t>p</t>
    </r>
    <r>
      <rPr>
        <i/>
        <vertAlign val="subscript"/>
        <sz val="12"/>
        <rFont val="Times New Roman"/>
        <family val="1"/>
      </rPr>
      <t>t</t>
    </r>
    <r>
      <rPr>
        <sz val="11"/>
        <rFont val="Arial"/>
        <family val="2"/>
      </rPr>
      <t>[kP</t>
    </r>
    <r>
      <rPr>
        <vertAlign val="subscript"/>
        <sz val="11"/>
        <rFont val="Arial"/>
        <family val="2"/>
      </rPr>
      <t>a</t>
    </r>
    <r>
      <rPr>
        <sz val="11"/>
        <rFont val="Arial"/>
        <family val="2"/>
      </rPr>
      <t>]</t>
    </r>
  </si>
  <si>
    <r>
      <t>D</t>
    </r>
    <r>
      <rPr>
        <i/>
        <sz val="12"/>
        <rFont val="Times New Roman"/>
        <family val="1"/>
      </rPr>
      <t>p</t>
    </r>
    <r>
      <rPr>
        <i/>
        <vertAlign val="subscript"/>
        <sz val="12"/>
        <rFont val="Times New Roman"/>
        <family val="1"/>
      </rPr>
      <t>l</t>
    </r>
    <r>
      <rPr>
        <sz val="11"/>
        <rFont val="Arial"/>
        <family val="2"/>
      </rPr>
      <t>[kP</t>
    </r>
    <r>
      <rPr>
        <vertAlign val="subscript"/>
        <sz val="11"/>
        <rFont val="Arial"/>
        <family val="2"/>
      </rPr>
      <t>a</t>
    </r>
    <r>
      <rPr>
        <sz val="11"/>
        <rFont val="Arial"/>
        <family val="2"/>
      </rPr>
      <t>]</t>
    </r>
  </si>
  <si>
    <r>
      <t>t</t>
    </r>
    <r>
      <rPr>
        <i/>
        <vertAlign val="subscript"/>
        <sz val="11"/>
        <color indexed="8"/>
        <rFont val="Times New Roman"/>
        <family val="1"/>
      </rPr>
      <t>sr</t>
    </r>
    <r>
      <rPr>
        <sz val="11"/>
        <color indexed="8"/>
        <rFont val="Times New Roman"/>
        <family val="1"/>
      </rPr>
      <t>/</t>
    </r>
    <r>
      <rPr>
        <i/>
        <sz val="11"/>
        <color indexed="8"/>
        <rFont val="Times New Roman"/>
        <family val="1"/>
      </rPr>
      <t>t</t>
    </r>
    <r>
      <rPr>
        <i/>
        <vertAlign val="subscript"/>
        <sz val="11"/>
        <color indexed="8"/>
        <rFont val="Times New Roman"/>
        <family val="1"/>
      </rPr>
      <t>z</t>
    </r>
    <r>
      <rPr>
        <sz val="10"/>
        <color indexed="8"/>
        <rFont val="Arial"/>
        <family val="0"/>
      </rPr>
      <t>[</t>
    </r>
    <r>
      <rPr>
        <vertAlign val="superscript"/>
        <sz val="10"/>
        <color indexed="8"/>
        <rFont val="Arial"/>
        <family val="2"/>
      </rPr>
      <t>o</t>
    </r>
    <r>
      <rPr>
        <sz val="10"/>
        <color indexed="8"/>
        <rFont val="Arial"/>
        <family val="0"/>
      </rPr>
      <t>C]</t>
    </r>
  </si>
  <si>
    <r>
      <t>S</t>
    </r>
    <r>
      <rPr>
        <i/>
        <sz val="12"/>
        <color indexed="8"/>
        <rFont val="Symbol"/>
        <family val="1"/>
      </rPr>
      <t>z</t>
    </r>
    <r>
      <rPr>
        <sz val="11"/>
        <color indexed="8"/>
        <rFont val="Symbol"/>
        <family val="1"/>
      </rPr>
      <t xml:space="preserve"> </t>
    </r>
    <r>
      <rPr>
        <sz val="11"/>
        <color indexed="8"/>
        <rFont val="Arial"/>
        <family val="2"/>
      </rPr>
      <t>[</t>
    </r>
    <r>
      <rPr>
        <sz val="11"/>
        <color indexed="8"/>
        <rFont val="Symbol"/>
        <family val="1"/>
      </rPr>
      <t>-</t>
    </r>
    <r>
      <rPr>
        <sz val="11"/>
        <color indexed="8"/>
        <rFont val="Arial"/>
        <family val="2"/>
      </rPr>
      <t>]</t>
    </r>
  </si>
  <si>
    <r>
      <t>D</t>
    </r>
    <r>
      <rPr>
        <i/>
        <sz val="12"/>
        <rFont val="Times New Roman"/>
        <family val="1"/>
      </rPr>
      <t>p</t>
    </r>
    <r>
      <rPr>
        <i/>
        <vertAlign val="subscript"/>
        <sz val="12"/>
        <rFont val="Times New Roman"/>
        <family val="1"/>
      </rPr>
      <t>k</t>
    </r>
    <r>
      <rPr>
        <sz val="11"/>
        <rFont val="Arial"/>
        <family val="2"/>
      </rPr>
      <t>[kP</t>
    </r>
    <r>
      <rPr>
        <vertAlign val="subscript"/>
        <sz val="11"/>
        <rFont val="Arial"/>
        <family val="2"/>
      </rPr>
      <t>a</t>
    </r>
    <r>
      <rPr>
        <sz val="11"/>
        <rFont val="Arial"/>
        <family val="2"/>
      </rPr>
      <t>]</t>
    </r>
  </si>
  <si>
    <r>
      <t>D</t>
    </r>
    <r>
      <rPr>
        <i/>
        <sz val="12"/>
        <rFont val="Times New Roman"/>
        <family val="1"/>
      </rPr>
      <t>p</t>
    </r>
    <r>
      <rPr>
        <i/>
        <vertAlign val="subscript"/>
        <sz val="12"/>
        <rFont val="Times New Roman"/>
        <family val="1"/>
      </rPr>
      <t>pr</t>
    </r>
    <r>
      <rPr>
        <sz val="11"/>
        <rFont val="Arial"/>
        <family val="2"/>
      </rPr>
      <t>[kP</t>
    </r>
    <r>
      <rPr>
        <vertAlign val="subscript"/>
        <sz val="11"/>
        <rFont val="Arial"/>
        <family val="2"/>
      </rPr>
      <t>a</t>
    </r>
    <r>
      <rPr>
        <sz val="11"/>
        <rFont val="Arial"/>
        <family val="2"/>
      </rPr>
      <t>]</t>
    </r>
  </si>
  <si>
    <r>
      <t>D</t>
    </r>
    <r>
      <rPr>
        <i/>
        <sz val="12"/>
        <rFont val="Times New Roman"/>
        <family val="1"/>
      </rPr>
      <t>p</t>
    </r>
    <r>
      <rPr>
        <i/>
        <vertAlign val="subscript"/>
        <sz val="12"/>
        <rFont val="Times New Roman"/>
        <family val="1"/>
      </rPr>
      <t>u</t>
    </r>
    <r>
      <rPr>
        <sz val="11"/>
        <rFont val="Arial"/>
        <family val="2"/>
      </rPr>
      <t>[kP</t>
    </r>
    <r>
      <rPr>
        <vertAlign val="subscript"/>
        <sz val="11"/>
        <rFont val="Arial"/>
        <family val="2"/>
      </rPr>
      <t>a</t>
    </r>
    <r>
      <rPr>
        <sz val="11"/>
        <rFont val="Arial"/>
        <family val="2"/>
      </rPr>
      <t>]</t>
    </r>
  </si>
  <si>
    <r>
      <t>n</t>
    </r>
    <r>
      <rPr>
        <i/>
        <vertAlign val="subscript"/>
        <sz val="12"/>
        <color indexed="8"/>
        <rFont val="Times New Roman"/>
        <family val="1"/>
      </rPr>
      <t>r</t>
    </r>
    <r>
      <rPr>
        <sz val="10"/>
        <color indexed="8"/>
        <rFont val="Arial"/>
        <family val="0"/>
      </rPr>
      <t xml:space="preserve"> [m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0"/>
      </rPr>
      <t>/s]</t>
    </r>
  </si>
  <si>
    <r>
      <t>m</t>
    </r>
    <r>
      <rPr>
        <sz val="11"/>
        <rFont val="Arial"/>
        <family val="2"/>
      </rPr>
      <t xml:space="preserve"> [kg/h]</t>
    </r>
  </si>
  <si>
    <r>
      <t>F</t>
    </r>
    <r>
      <rPr>
        <i/>
        <vertAlign val="subscript"/>
        <sz val="12"/>
        <rFont val="Times New Roman"/>
        <family val="1"/>
      </rPr>
      <t>r</t>
    </r>
    <r>
      <rPr>
        <sz val="11"/>
        <rFont val="Arial"/>
        <family val="0"/>
      </rPr>
      <t xml:space="preserve"> [m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0"/>
      </rPr>
      <t>]</t>
    </r>
  </si>
  <si>
    <r>
      <t>F</t>
    </r>
    <r>
      <rPr>
        <i/>
        <vertAlign val="subscript"/>
        <sz val="12"/>
        <rFont val="Times New Roman"/>
        <family val="1"/>
      </rPr>
      <t>o</t>
    </r>
    <r>
      <rPr>
        <sz val="11"/>
        <rFont val="Arial"/>
        <family val="0"/>
      </rPr>
      <t xml:space="preserve"> [m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0"/>
      </rPr>
      <t>]</t>
    </r>
  </si>
  <si>
    <r>
      <t>d</t>
    </r>
    <r>
      <rPr>
        <i/>
        <vertAlign val="subscript"/>
        <sz val="12"/>
        <rFont val="Times New Roman"/>
        <family val="1"/>
      </rPr>
      <t>ekv</t>
    </r>
    <r>
      <rPr>
        <sz val="12"/>
        <rFont val="Times New Roman"/>
        <family val="1"/>
      </rPr>
      <t xml:space="preserve"> </t>
    </r>
    <r>
      <rPr>
        <sz val="11"/>
        <rFont val="Arial"/>
        <family val="2"/>
      </rPr>
      <t>[m]</t>
    </r>
  </si>
  <si>
    <r>
      <t>w</t>
    </r>
    <r>
      <rPr>
        <sz val="11"/>
        <rFont val="Arial"/>
        <family val="0"/>
      </rPr>
      <t>[m/s]</t>
    </r>
  </si>
  <si>
    <r>
      <t>Re</t>
    </r>
    <r>
      <rPr>
        <sz val="11"/>
        <rFont val="Arial"/>
        <family val="0"/>
      </rPr>
      <t xml:space="preserve"> [</t>
    </r>
    <r>
      <rPr>
        <sz val="11"/>
        <rFont val="Symbol"/>
        <family val="1"/>
      </rPr>
      <t>-</t>
    </r>
    <r>
      <rPr>
        <sz val="11"/>
        <rFont val="Arial"/>
        <family val="0"/>
      </rPr>
      <t>]</t>
    </r>
  </si>
  <si>
    <r>
      <t>x</t>
    </r>
    <r>
      <rPr>
        <i/>
        <vertAlign val="subscript"/>
        <sz val="12"/>
        <color indexed="8"/>
        <rFont val="Arial"/>
        <family val="2"/>
      </rPr>
      <t>pr</t>
    </r>
    <r>
      <rPr>
        <sz val="11"/>
        <color indexed="8"/>
        <rFont val="Arial"/>
        <family val="0"/>
      </rPr>
      <t xml:space="preserve"> [</t>
    </r>
    <r>
      <rPr>
        <sz val="11"/>
        <color indexed="8"/>
        <rFont val="Symbol"/>
        <family val="1"/>
      </rPr>
      <t>-</t>
    </r>
    <r>
      <rPr>
        <sz val="11"/>
        <color indexed="8"/>
        <rFont val="Arial"/>
        <family val="0"/>
      </rPr>
      <t>]</t>
    </r>
  </si>
  <si>
    <r>
      <t>d</t>
    </r>
    <r>
      <rPr>
        <i/>
        <vertAlign val="subscript"/>
        <sz val="12"/>
        <rFont val="Times New Roman"/>
        <family val="1"/>
      </rPr>
      <t>u pr</t>
    </r>
    <r>
      <rPr>
        <sz val="12"/>
        <rFont val="Times New Roman"/>
        <family val="1"/>
      </rPr>
      <t xml:space="preserve"> </t>
    </r>
    <r>
      <rPr>
        <sz val="11"/>
        <rFont val="Arial"/>
        <family val="2"/>
      </rPr>
      <t>[m]</t>
    </r>
  </si>
  <si>
    <r>
      <t>w</t>
    </r>
    <r>
      <rPr>
        <i/>
        <vertAlign val="subscript"/>
        <sz val="12"/>
        <color indexed="8"/>
        <rFont val="Times New Roman"/>
        <family val="1"/>
      </rPr>
      <t>pr</t>
    </r>
    <r>
      <rPr>
        <sz val="10"/>
        <color indexed="8"/>
        <rFont val="Arial"/>
        <family val="0"/>
      </rPr>
      <t xml:space="preserve"> [m/s]</t>
    </r>
  </si>
  <si>
    <r>
      <t>t</t>
    </r>
    <r>
      <rPr>
        <i/>
        <vertAlign val="subscript"/>
        <sz val="12"/>
        <rFont val="Times New Roman"/>
        <family val="1"/>
      </rPr>
      <t>s</t>
    </r>
    <r>
      <rPr>
        <i/>
        <sz val="12"/>
        <rFont val="Times New Roman"/>
        <family val="1"/>
      </rPr>
      <t xml:space="preserve"> </t>
    </r>
    <r>
      <rPr>
        <sz val="12"/>
        <rFont val="Arial"/>
        <family val="2"/>
      </rPr>
      <t>[</t>
    </r>
    <r>
      <rPr>
        <vertAlign val="superscript"/>
        <sz val="12"/>
        <rFont val="Arial"/>
        <family val="2"/>
      </rPr>
      <t>o</t>
    </r>
    <r>
      <rPr>
        <sz val="12"/>
        <rFont val="Arial"/>
        <family val="2"/>
      </rPr>
      <t>C]</t>
    </r>
  </si>
  <si>
    <r>
      <t>t</t>
    </r>
    <r>
      <rPr>
        <i/>
        <vertAlign val="subscript"/>
        <sz val="12"/>
        <rFont val="Times New Roman"/>
        <family val="1"/>
      </rPr>
      <t>r</t>
    </r>
    <r>
      <rPr>
        <i/>
        <sz val="12"/>
        <rFont val="Times New Roman"/>
        <family val="1"/>
      </rPr>
      <t xml:space="preserve"> </t>
    </r>
    <r>
      <rPr>
        <sz val="12"/>
        <rFont val="Arial"/>
        <family val="2"/>
      </rPr>
      <t>[</t>
    </r>
    <r>
      <rPr>
        <vertAlign val="superscript"/>
        <sz val="12"/>
        <rFont val="Arial"/>
        <family val="2"/>
      </rPr>
      <t>o</t>
    </r>
    <r>
      <rPr>
        <sz val="12"/>
        <rFont val="Arial"/>
        <family val="2"/>
      </rPr>
      <t>C]</t>
    </r>
  </si>
  <si>
    <r>
      <t>t</t>
    </r>
    <r>
      <rPr>
        <i/>
        <vertAlign val="subscript"/>
        <sz val="12"/>
        <rFont val="Times New Roman"/>
        <family val="1"/>
      </rPr>
      <t>p</t>
    </r>
    <r>
      <rPr>
        <i/>
        <sz val="12"/>
        <rFont val="Times New Roman"/>
        <family val="1"/>
      </rPr>
      <t xml:space="preserve"> </t>
    </r>
    <r>
      <rPr>
        <sz val="12"/>
        <rFont val="Arial"/>
        <family val="2"/>
      </rPr>
      <t>[</t>
    </r>
    <r>
      <rPr>
        <vertAlign val="superscript"/>
        <sz val="12"/>
        <rFont val="Arial"/>
        <family val="2"/>
      </rPr>
      <t>o</t>
    </r>
    <r>
      <rPr>
        <sz val="12"/>
        <rFont val="Arial"/>
        <family val="2"/>
      </rPr>
      <t>C]</t>
    </r>
  </si>
  <si>
    <r>
      <t>t</t>
    </r>
    <r>
      <rPr>
        <i/>
        <vertAlign val="subscript"/>
        <sz val="12"/>
        <rFont val="Times New Roman"/>
        <family val="1"/>
      </rPr>
      <t>u</t>
    </r>
    <r>
      <rPr>
        <i/>
        <sz val="12"/>
        <rFont val="Times New Roman"/>
        <family val="1"/>
      </rPr>
      <t xml:space="preserve"> </t>
    </r>
    <r>
      <rPr>
        <sz val="12"/>
        <rFont val="Arial"/>
        <family val="2"/>
      </rPr>
      <t>[</t>
    </r>
    <r>
      <rPr>
        <vertAlign val="superscript"/>
        <sz val="12"/>
        <rFont val="Arial"/>
        <family val="2"/>
      </rPr>
      <t>o</t>
    </r>
    <r>
      <rPr>
        <sz val="12"/>
        <rFont val="Arial"/>
        <family val="2"/>
      </rPr>
      <t>C]</t>
    </r>
  </si>
  <si>
    <r>
      <t>Q</t>
    </r>
    <r>
      <rPr>
        <sz val="12"/>
        <color indexed="8"/>
        <rFont val="Arial"/>
        <family val="2"/>
      </rPr>
      <t xml:space="preserve"> [kW]</t>
    </r>
  </si>
  <si>
    <r>
      <t>t</t>
    </r>
    <r>
      <rPr>
        <i/>
        <vertAlign val="subscript"/>
        <sz val="12"/>
        <rFont val="Times New Roman"/>
        <family val="1"/>
      </rPr>
      <t>m</t>
    </r>
    <r>
      <rPr>
        <sz val="12"/>
        <rFont val="Arial"/>
        <family val="2"/>
      </rPr>
      <t>[</t>
    </r>
    <r>
      <rPr>
        <vertAlign val="superscript"/>
        <sz val="12"/>
        <rFont val="Arial"/>
        <family val="2"/>
      </rPr>
      <t>o</t>
    </r>
    <r>
      <rPr>
        <sz val="12"/>
        <rFont val="Arial"/>
        <family val="2"/>
      </rPr>
      <t>C]</t>
    </r>
  </si>
  <si>
    <r>
      <t>c</t>
    </r>
    <r>
      <rPr>
        <i/>
        <vertAlign val="subscript"/>
        <sz val="11"/>
        <rFont val="Times New Roman"/>
        <family val="1"/>
      </rPr>
      <t>p</t>
    </r>
    <r>
      <rPr>
        <sz val="9"/>
        <rFont val="Arial"/>
        <family val="2"/>
      </rPr>
      <t>[kJ/(kg K)]</t>
    </r>
  </si>
  <si>
    <r>
      <t>D</t>
    </r>
    <r>
      <rPr>
        <i/>
        <sz val="12"/>
        <rFont val="Times New Roman"/>
        <family val="1"/>
      </rPr>
      <t>t</t>
    </r>
    <r>
      <rPr>
        <i/>
        <vertAlign val="subscript"/>
        <sz val="12"/>
        <rFont val="Times New Roman"/>
        <family val="1"/>
      </rPr>
      <t xml:space="preserve">ep </t>
    </r>
    <r>
      <rPr>
        <sz val="12"/>
        <rFont val="Times New Roman"/>
        <family val="1"/>
      </rPr>
      <t>[K]</t>
    </r>
  </si>
  <si>
    <r>
      <t>m</t>
    </r>
    <r>
      <rPr>
        <sz val="11"/>
        <color indexed="8"/>
        <rFont val="Arial"/>
        <family val="2"/>
      </rPr>
      <t xml:space="preserve"> [</t>
    </r>
    <r>
      <rPr>
        <sz val="11"/>
        <color indexed="8"/>
        <rFont val="Symbol"/>
        <family val="1"/>
      </rPr>
      <t>-</t>
    </r>
    <r>
      <rPr>
        <sz val="11"/>
        <color indexed="8"/>
        <rFont val="Arial"/>
        <family val="2"/>
      </rPr>
      <t>]</t>
    </r>
  </si>
  <si>
    <r>
      <t>t</t>
    </r>
    <r>
      <rPr>
        <i/>
        <vertAlign val="subscript"/>
        <sz val="12"/>
        <rFont val="Times New Roman"/>
        <family val="1"/>
      </rPr>
      <t>k</t>
    </r>
    <r>
      <rPr>
        <i/>
        <sz val="12"/>
        <rFont val="Times New Roman"/>
        <family val="1"/>
      </rPr>
      <t xml:space="preserve"> </t>
    </r>
    <r>
      <rPr>
        <sz val="12"/>
        <rFont val="Arial"/>
        <family val="2"/>
      </rPr>
      <t>[</t>
    </r>
    <r>
      <rPr>
        <vertAlign val="superscript"/>
        <sz val="12"/>
        <rFont val="Arial"/>
        <family val="2"/>
      </rPr>
      <t>o</t>
    </r>
    <r>
      <rPr>
        <sz val="12"/>
        <rFont val="Arial"/>
        <family val="2"/>
      </rPr>
      <t>C]</t>
    </r>
  </si>
  <si>
    <r>
      <t>c</t>
    </r>
    <r>
      <rPr>
        <sz val="10"/>
        <rFont val="Symbol"/>
        <family val="1"/>
      </rPr>
      <t>D</t>
    </r>
    <r>
      <rPr>
        <i/>
        <sz val="10"/>
        <rFont val="Times New Roman"/>
        <family val="1"/>
      </rPr>
      <t>t</t>
    </r>
    <r>
      <rPr>
        <sz val="10"/>
        <rFont val="Times New Roman"/>
        <family val="1"/>
      </rPr>
      <t>/(</t>
    </r>
    <r>
      <rPr>
        <i/>
        <sz val="10"/>
        <rFont val="Times New Roman"/>
        <family val="1"/>
      </rPr>
      <t>c</t>
    </r>
    <r>
      <rPr>
        <i/>
        <vertAlign val="subscript"/>
        <sz val="11"/>
        <rFont val="Times New Roman"/>
        <family val="1"/>
      </rPr>
      <t>p</t>
    </r>
    <r>
      <rPr>
        <sz val="10"/>
        <rFont val="Symbol"/>
        <family val="1"/>
      </rPr>
      <t>D</t>
    </r>
    <r>
      <rPr>
        <i/>
        <sz val="10"/>
        <rFont val="Times New Roman"/>
        <family val="1"/>
      </rPr>
      <t>t</t>
    </r>
    <r>
      <rPr>
        <i/>
        <vertAlign val="subscript"/>
        <sz val="11"/>
        <rFont val="Times New Roman"/>
        <family val="1"/>
      </rPr>
      <t>p</t>
    </r>
    <r>
      <rPr>
        <sz val="10"/>
        <rFont val="Times New Roman"/>
        <family val="1"/>
      </rPr>
      <t>)</t>
    </r>
  </si>
  <si>
    <r>
      <t>Q</t>
    </r>
    <r>
      <rPr>
        <i/>
        <vertAlign val="subscript"/>
        <sz val="12"/>
        <color indexed="8"/>
        <rFont val="Times New Roman"/>
        <family val="1"/>
      </rPr>
      <t>k</t>
    </r>
    <r>
      <rPr>
        <sz val="12"/>
        <color indexed="8"/>
        <rFont val="Arial"/>
        <family val="2"/>
      </rPr>
      <t xml:space="preserve"> [kW]</t>
    </r>
  </si>
  <si>
    <r>
      <t>y</t>
    </r>
    <r>
      <rPr>
        <sz val="12"/>
        <rFont val="Arial"/>
        <family val="2"/>
      </rPr>
      <t xml:space="preserve"> [</t>
    </r>
    <r>
      <rPr>
        <sz val="12"/>
        <rFont val="Symbol"/>
        <family val="1"/>
      </rPr>
      <t>-</t>
    </r>
    <r>
      <rPr>
        <sz val="12"/>
        <rFont val="Arial"/>
        <family val="2"/>
      </rPr>
      <t>]</t>
    </r>
  </si>
  <si>
    <r>
      <t>c</t>
    </r>
    <r>
      <rPr>
        <sz val="8"/>
        <rFont val="Arial"/>
        <family val="2"/>
      </rPr>
      <t>[kJ/(kg K)]</t>
    </r>
  </si>
  <si>
    <r>
      <t>t</t>
    </r>
    <r>
      <rPr>
        <i/>
        <vertAlign val="subscript"/>
        <sz val="12"/>
        <rFont val="Times New Roman"/>
        <family val="1"/>
      </rPr>
      <t>rp</t>
    </r>
    <r>
      <rPr>
        <i/>
        <sz val="12"/>
        <rFont val="Times New Roman"/>
        <family val="1"/>
      </rPr>
      <t xml:space="preserve"> </t>
    </r>
    <r>
      <rPr>
        <sz val="12"/>
        <rFont val="Arial"/>
        <family val="2"/>
      </rPr>
      <t>[</t>
    </r>
    <r>
      <rPr>
        <vertAlign val="superscript"/>
        <sz val="12"/>
        <rFont val="Arial"/>
        <family val="2"/>
      </rPr>
      <t>o</t>
    </r>
    <r>
      <rPr>
        <sz val="12"/>
        <rFont val="Arial"/>
        <family val="2"/>
      </rPr>
      <t>C]</t>
    </r>
  </si>
  <si>
    <r>
      <t>D</t>
    </r>
    <r>
      <rPr>
        <i/>
        <sz val="12"/>
        <rFont val="Times New Roman"/>
        <family val="1"/>
      </rPr>
      <t>t</t>
    </r>
    <r>
      <rPr>
        <i/>
        <vertAlign val="subscript"/>
        <sz val="12"/>
        <rFont val="Times New Roman"/>
        <family val="1"/>
      </rPr>
      <t xml:space="preserve">pp </t>
    </r>
    <r>
      <rPr>
        <sz val="12"/>
        <rFont val="Times New Roman"/>
        <family val="1"/>
      </rPr>
      <t>[K]</t>
    </r>
  </si>
  <si>
    <r>
      <t>D</t>
    </r>
    <r>
      <rPr>
        <i/>
        <sz val="12"/>
        <rFont val="Times New Roman"/>
        <family val="1"/>
      </rPr>
      <t>t</t>
    </r>
    <r>
      <rPr>
        <i/>
        <vertAlign val="subscript"/>
        <sz val="12"/>
        <rFont val="Times New Roman"/>
        <family val="1"/>
      </rPr>
      <t xml:space="preserve">ps </t>
    </r>
    <r>
      <rPr>
        <sz val="12"/>
        <rFont val="Times New Roman"/>
        <family val="1"/>
      </rPr>
      <t>[K]</t>
    </r>
  </si>
  <si>
    <r>
      <t>t</t>
    </r>
    <r>
      <rPr>
        <i/>
        <vertAlign val="subscript"/>
        <sz val="12"/>
        <rFont val="Times New Roman"/>
        <family val="1"/>
      </rPr>
      <t>rs</t>
    </r>
    <r>
      <rPr>
        <i/>
        <sz val="12"/>
        <rFont val="Times New Roman"/>
        <family val="1"/>
      </rPr>
      <t xml:space="preserve"> </t>
    </r>
    <r>
      <rPr>
        <sz val="12"/>
        <rFont val="Arial"/>
        <family val="2"/>
      </rPr>
      <t>[</t>
    </r>
    <r>
      <rPr>
        <vertAlign val="superscript"/>
        <sz val="12"/>
        <rFont val="Arial"/>
        <family val="2"/>
      </rPr>
      <t>o</t>
    </r>
    <r>
      <rPr>
        <sz val="12"/>
        <rFont val="Arial"/>
        <family val="2"/>
      </rPr>
      <t>C]</t>
    </r>
  </si>
  <si>
    <r>
      <t>t</t>
    </r>
    <r>
      <rPr>
        <i/>
        <vertAlign val="subscript"/>
        <sz val="12"/>
        <color indexed="14"/>
        <rFont val="Times New Roman"/>
        <family val="1"/>
      </rPr>
      <t>k</t>
    </r>
    <r>
      <rPr>
        <i/>
        <sz val="12"/>
        <color indexed="14"/>
        <rFont val="Times New Roman"/>
        <family val="1"/>
      </rPr>
      <t xml:space="preserve"> </t>
    </r>
    <r>
      <rPr>
        <sz val="12"/>
        <color indexed="14"/>
        <rFont val="Arial"/>
        <family val="2"/>
      </rPr>
      <t>[</t>
    </r>
    <r>
      <rPr>
        <vertAlign val="superscript"/>
        <sz val="12"/>
        <color indexed="14"/>
        <rFont val="Arial"/>
        <family val="2"/>
      </rPr>
      <t>o</t>
    </r>
    <r>
      <rPr>
        <sz val="12"/>
        <color indexed="14"/>
        <rFont val="Arial"/>
        <family val="2"/>
      </rPr>
      <t>C]</t>
    </r>
  </si>
  <si>
    <r>
      <t>Q</t>
    </r>
    <r>
      <rPr>
        <sz val="12"/>
        <color indexed="10"/>
        <rFont val="Arial"/>
        <family val="2"/>
      </rPr>
      <t xml:space="preserve"> [kW]</t>
    </r>
  </si>
  <si>
    <r>
      <t>t</t>
    </r>
    <r>
      <rPr>
        <i/>
        <vertAlign val="subscript"/>
        <sz val="12"/>
        <rFont val="Times New Roman"/>
        <family val="1"/>
      </rPr>
      <t>o</t>
    </r>
    <r>
      <rPr>
        <i/>
        <sz val="12"/>
        <rFont val="Times New Roman"/>
        <family val="1"/>
      </rPr>
      <t xml:space="preserve"> </t>
    </r>
    <r>
      <rPr>
        <sz val="12"/>
        <rFont val="Arial"/>
        <family val="2"/>
      </rPr>
      <t>[</t>
    </r>
    <r>
      <rPr>
        <vertAlign val="superscript"/>
        <sz val="12"/>
        <rFont val="Arial"/>
        <family val="2"/>
      </rPr>
      <t>o</t>
    </r>
    <r>
      <rPr>
        <sz val="12"/>
        <rFont val="Arial"/>
        <family val="2"/>
      </rPr>
      <t>C]</t>
    </r>
  </si>
  <si>
    <r>
      <t>p</t>
    </r>
    <r>
      <rPr>
        <i/>
        <vertAlign val="subscript"/>
        <sz val="12"/>
        <color indexed="8"/>
        <rFont val="Times New Roman"/>
        <family val="1"/>
      </rPr>
      <t>p</t>
    </r>
    <r>
      <rPr>
        <sz val="11"/>
        <color indexed="8"/>
        <rFont val="YU L Swiss"/>
        <family val="2"/>
      </rPr>
      <t xml:space="preserve"> </t>
    </r>
    <r>
      <rPr>
        <sz val="11"/>
        <color indexed="8"/>
        <rFont val="Arial"/>
        <family val="2"/>
      </rPr>
      <t>[bar]</t>
    </r>
  </si>
  <si>
    <r>
      <t>p</t>
    </r>
    <r>
      <rPr>
        <i/>
        <vertAlign val="subscript"/>
        <sz val="12"/>
        <color indexed="8"/>
        <rFont val="Times New Roman"/>
        <family val="1"/>
      </rPr>
      <t>s</t>
    </r>
    <r>
      <rPr>
        <sz val="11"/>
        <color indexed="8"/>
        <rFont val="YU L Swiss"/>
        <family val="2"/>
      </rPr>
      <t xml:space="preserve"> </t>
    </r>
    <r>
      <rPr>
        <sz val="11"/>
        <color indexed="8"/>
        <rFont val="Arial"/>
        <family val="2"/>
      </rPr>
      <t>[bar]</t>
    </r>
  </si>
  <si>
    <r>
      <t>p</t>
    </r>
    <r>
      <rPr>
        <i/>
        <vertAlign val="subscript"/>
        <sz val="12"/>
        <color indexed="8"/>
        <rFont val="Times New Roman"/>
        <family val="1"/>
      </rPr>
      <t>pi</t>
    </r>
    <r>
      <rPr>
        <sz val="11"/>
        <color indexed="8"/>
        <rFont val="YU L Swiss"/>
        <family val="2"/>
      </rPr>
      <t xml:space="preserve"> </t>
    </r>
    <r>
      <rPr>
        <sz val="11"/>
        <color indexed="8"/>
        <rFont val="Arial"/>
        <family val="2"/>
      </rPr>
      <t>[bar]</t>
    </r>
  </si>
  <si>
    <r>
      <t>p</t>
    </r>
    <r>
      <rPr>
        <i/>
        <vertAlign val="subscript"/>
        <sz val="12"/>
        <color indexed="8"/>
        <rFont val="Times New Roman"/>
        <family val="1"/>
      </rPr>
      <t>si</t>
    </r>
    <r>
      <rPr>
        <sz val="11"/>
        <color indexed="8"/>
        <rFont val="YU L Swiss"/>
        <family val="2"/>
      </rPr>
      <t xml:space="preserve"> </t>
    </r>
    <r>
      <rPr>
        <sz val="11"/>
        <color indexed="8"/>
        <rFont val="Arial"/>
        <family val="2"/>
      </rPr>
      <t>[bar]</t>
    </r>
  </si>
  <si>
    <r>
      <t>D</t>
    </r>
    <r>
      <rPr>
        <i/>
        <vertAlign val="subscript"/>
        <sz val="12"/>
        <color indexed="8"/>
        <rFont val="Times New Roman"/>
        <family val="1"/>
      </rPr>
      <t>s</t>
    </r>
    <r>
      <rPr>
        <sz val="12"/>
        <color indexed="8"/>
        <rFont val="YU L Swiss"/>
        <family val="2"/>
      </rPr>
      <t xml:space="preserve"> </t>
    </r>
    <r>
      <rPr>
        <sz val="12"/>
        <color indexed="8"/>
        <rFont val="Arial"/>
        <family val="2"/>
      </rPr>
      <t>[mm]</t>
    </r>
  </si>
  <si>
    <r>
      <t>d</t>
    </r>
    <r>
      <rPr>
        <i/>
        <vertAlign val="subscript"/>
        <sz val="12"/>
        <color indexed="8"/>
        <rFont val="Times New Roman"/>
        <family val="1"/>
      </rPr>
      <t>u</t>
    </r>
    <r>
      <rPr>
        <sz val="12"/>
        <color indexed="8"/>
        <rFont val="YU L Swiss"/>
        <family val="2"/>
      </rPr>
      <t xml:space="preserve"> </t>
    </r>
    <r>
      <rPr>
        <sz val="12"/>
        <color indexed="8"/>
        <rFont val="Arial"/>
        <family val="2"/>
      </rPr>
      <t>[mm]</t>
    </r>
  </si>
  <si>
    <r>
      <t>k</t>
    </r>
    <r>
      <rPr>
        <i/>
        <vertAlign val="subscript"/>
        <sz val="12"/>
        <color indexed="8"/>
        <rFont val="Times New Roman"/>
        <family val="1"/>
      </rPr>
      <t>h</t>
    </r>
    <r>
      <rPr>
        <sz val="12"/>
        <color indexed="8"/>
        <rFont val="YU L Swiss"/>
        <family val="2"/>
      </rPr>
      <t xml:space="preserve"> </t>
    </r>
    <r>
      <rPr>
        <sz val="12"/>
        <color indexed="8"/>
        <rFont val="Arial"/>
        <family val="2"/>
      </rPr>
      <t>[mm]</t>
    </r>
  </si>
  <si>
    <r>
      <t>k</t>
    </r>
    <r>
      <rPr>
        <i/>
        <vertAlign val="subscript"/>
        <sz val="12"/>
        <color indexed="8"/>
        <rFont val="Times New Roman"/>
        <family val="1"/>
      </rPr>
      <t>v</t>
    </r>
    <r>
      <rPr>
        <sz val="12"/>
        <color indexed="8"/>
        <rFont val="YU L Swiss"/>
        <family val="2"/>
      </rPr>
      <t xml:space="preserve"> </t>
    </r>
    <r>
      <rPr>
        <sz val="12"/>
        <color indexed="8"/>
        <rFont val="Arial"/>
        <family val="2"/>
      </rPr>
      <t>[mm]</t>
    </r>
  </si>
  <si>
    <r>
      <t>t</t>
    </r>
    <r>
      <rPr>
        <i/>
        <vertAlign val="subscript"/>
        <sz val="12"/>
        <rFont val="Times New Roman"/>
        <family val="1"/>
      </rPr>
      <t>pr</t>
    </r>
    <r>
      <rPr>
        <i/>
        <sz val="12"/>
        <rFont val="Times New Roman"/>
        <family val="1"/>
      </rPr>
      <t xml:space="preserve"> </t>
    </r>
    <r>
      <rPr>
        <sz val="12"/>
        <rFont val="Arial"/>
        <family val="2"/>
      </rPr>
      <t>[</t>
    </r>
    <r>
      <rPr>
        <vertAlign val="superscript"/>
        <sz val="12"/>
        <rFont val="Arial"/>
        <family val="2"/>
      </rPr>
      <t>o</t>
    </r>
    <r>
      <rPr>
        <sz val="12"/>
        <rFont val="Arial"/>
        <family val="2"/>
      </rPr>
      <t>C]</t>
    </r>
  </si>
  <si>
    <r>
      <t>p</t>
    </r>
    <r>
      <rPr>
        <i/>
        <vertAlign val="subscript"/>
        <sz val="12"/>
        <color indexed="8"/>
        <rFont val="Times New Roman"/>
        <family val="1"/>
      </rPr>
      <t>pr</t>
    </r>
    <r>
      <rPr>
        <sz val="11"/>
        <color indexed="8"/>
        <rFont val="YU L Swiss"/>
        <family val="2"/>
      </rPr>
      <t xml:space="preserve"> </t>
    </r>
    <r>
      <rPr>
        <sz val="11"/>
        <color indexed="8"/>
        <rFont val="Arial"/>
        <family val="2"/>
      </rPr>
      <t>[bar]</t>
    </r>
  </si>
  <si>
    <r>
      <t>K</t>
    </r>
    <r>
      <rPr>
        <sz val="10"/>
        <color indexed="8"/>
        <rFont val="Arial"/>
        <family val="2"/>
      </rPr>
      <t>[N/mm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]</t>
    </r>
  </si>
  <si>
    <r>
      <t>E</t>
    </r>
    <r>
      <rPr>
        <sz val="10"/>
        <color indexed="8"/>
        <rFont val="Arial"/>
        <family val="2"/>
      </rPr>
      <t>[N/mm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]</t>
    </r>
  </si>
  <si>
    <r>
      <t>S</t>
    </r>
    <r>
      <rPr>
        <sz val="10"/>
        <color indexed="8"/>
        <rFont val="YU L Swiss"/>
        <family val="2"/>
      </rPr>
      <t xml:space="preserve"> </t>
    </r>
    <r>
      <rPr>
        <sz val="12"/>
        <color indexed="8"/>
        <rFont val="Arial"/>
        <family val="2"/>
      </rPr>
      <t>[</t>
    </r>
    <r>
      <rPr>
        <sz val="12"/>
        <color indexed="8"/>
        <rFont val="Symbol"/>
        <family val="1"/>
      </rPr>
      <t>-</t>
    </r>
    <r>
      <rPr>
        <sz val="12"/>
        <color indexed="8"/>
        <rFont val="Arial"/>
        <family val="2"/>
      </rPr>
      <t>]</t>
    </r>
  </si>
  <si>
    <r>
      <t>v</t>
    </r>
    <r>
      <rPr>
        <sz val="10"/>
        <color indexed="8"/>
        <rFont val="YU L Swiss"/>
        <family val="2"/>
      </rPr>
      <t xml:space="preserve"> </t>
    </r>
    <r>
      <rPr>
        <sz val="12"/>
        <color indexed="8"/>
        <rFont val="Arial"/>
        <family val="2"/>
      </rPr>
      <t>[</t>
    </r>
    <r>
      <rPr>
        <sz val="12"/>
        <color indexed="8"/>
        <rFont val="Symbol"/>
        <family val="1"/>
      </rPr>
      <t>-</t>
    </r>
    <r>
      <rPr>
        <sz val="12"/>
        <color indexed="8"/>
        <rFont val="Arial"/>
        <family val="2"/>
      </rPr>
      <t>]</t>
    </r>
  </si>
  <si>
    <r>
      <t>c</t>
    </r>
    <r>
      <rPr>
        <vertAlign val="subscript"/>
        <sz val="11"/>
        <color indexed="8"/>
        <rFont val="Times New Roman"/>
        <family val="1"/>
      </rPr>
      <t>1</t>
    </r>
    <r>
      <rPr>
        <sz val="11"/>
        <color indexed="8"/>
        <rFont val="YU L Swiss"/>
        <family val="2"/>
      </rPr>
      <t xml:space="preserve"> </t>
    </r>
    <r>
      <rPr>
        <sz val="11"/>
        <color indexed="8"/>
        <rFont val="Arial"/>
        <family val="2"/>
      </rPr>
      <t>[mm]</t>
    </r>
  </si>
  <si>
    <r>
      <t>c</t>
    </r>
    <r>
      <rPr>
        <vertAlign val="subscript"/>
        <sz val="11"/>
        <color indexed="8"/>
        <rFont val="Times New Roman"/>
        <family val="1"/>
      </rPr>
      <t>2</t>
    </r>
    <r>
      <rPr>
        <sz val="11"/>
        <color indexed="8"/>
        <rFont val="YU L Swiss"/>
        <family val="2"/>
      </rPr>
      <t xml:space="preserve"> </t>
    </r>
    <r>
      <rPr>
        <sz val="11"/>
        <color indexed="8"/>
        <rFont val="Arial"/>
        <family val="2"/>
      </rPr>
      <t>[mm]</t>
    </r>
  </si>
  <si>
    <r>
      <t>(s</t>
    </r>
    <r>
      <rPr>
        <i/>
        <vertAlign val="subscript"/>
        <sz val="11"/>
        <color indexed="8"/>
        <rFont val="Times New Roman"/>
        <family val="1"/>
      </rPr>
      <t>e</t>
    </r>
    <r>
      <rPr>
        <i/>
        <sz val="11"/>
        <color indexed="8"/>
        <rFont val="Times New Roman"/>
        <family val="1"/>
      </rPr>
      <t>-c</t>
    </r>
    <r>
      <rPr>
        <vertAlign val="subscript"/>
        <sz val="11"/>
        <color indexed="8"/>
        <rFont val="Times New Roman"/>
        <family val="1"/>
      </rPr>
      <t>1</t>
    </r>
    <r>
      <rPr>
        <i/>
        <sz val="11"/>
        <color indexed="8"/>
        <rFont val="Times New Roman"/>
        <family val="1"/>
      </rPr>
      <t>-c</t>
    </r>
    <r>
      <rPr>
        <vertAlign val="subscript"/>
        <sz val="11"/>
        <color indexed="8"/>
        <rFont val="Times New Roman"/>
        <family val="1"/>
      </rPr>
      <t>2</t>
    </r>
    <r>
      <rPr>
        <i/>
        <sz val="11"/>
        <color indexed="8"/>
        <rFont val="Times New Roman"/>
        <family val="1"/>
      </rPr>
      <t>)</t>
    </r>
    <r>
      <rPr>
        <sz val="11"/>
        <color indexed="8"/>
        <rFont val="Times New Roman"/>
        <family val="1"/>
      </rPr>
      <t>/</t>
    </r>
    <r>
      <rPr>
        <i/>
        <sz val="11"/>
        <color indexed="8"/>
        <rFont val="Times New Roman"/>
        <family val="1"/>
      </rPr>
      <t>D</t>
    </r>
    <r>
      <rPr>
        <i/>
        <vertAlign val="subscript"/>
        <sz val="11"/>
        <color indexed="8"/>
        <rFont val="Times New Roman"/>
        <family val="1"/>
      </rPr>
      <t>s</t>
    </r>
  </si>
  <si>
    <r>
      <t>d</t>
    </r>
    <r>
      <rPr>
        <i/>
        <vertAlign val="subscript"/>
        <sz val="12"/>
        <color indexed="8"/>
        <rFont val="Times New Roman"/>
        <family val="1"/>
      </rPr>
      <t>u</t>
    </r>
    <r>
      <rPr>
        <sz val="12"/>
        <color indexed="8"/>
        <rFont val="Times New Roman"/>
        <family val="1"/>
      </rPr>
      <t>/</t>
    </r>
    <r>
      <rPr>
        <i/>
        <sz val="12"/>
        <color indexed="8"/>
        <rFont val="Times New Roman"/>
        <family val="1"/>
      </rPr>
      <t>D</t>
    </r>
    <r>
      <rPr>
        <i/>
        <vertAlign val="subscript"/>
        <sz val="12"/>
        <color indexed="8"/>
        <rFont val="Times New Roman"/>
        <family val="1"/>
      </rPr>
      <t>s</t>
    </r>
    <r>
      <rPr>
        <sz val="11"/>
        <color indexed="8"/>
        <rFont val="Arial"/>
        <family val="2"/>
      </rPr>
      <t>[</t>
    </r>
    <r>
      <rPr>
        <sz val="11"/>
        <color indexed="8"/>
        <rFont val="Symbol"/>
        <family val="1"/>
      </rPr>
      <t>-</t>
    </r>
    <r>
      <rPr>
        <sz val="11"/>
        <color indexed="8"/>
        <rFont val="Arial"/>
        <family val="2"/>
      </rPr>
      <t>]</t>
    </r>
  </si>
  <si>
    <r>
      <t>b</t>
    </r>
    <r>
      <rPr>
        <sz val="10"/>
        <color indexed="8"/>
        <rFont val="YU L Swiss"/>
        <family val="2"/>
      </rPr>
      <t xml:space="preserve"> </t>
    </r>
    <r>
      <rPr>
        <sz val="12"/>
        <color indexed="8"/>
        <rFont val="Arial"/>
        <family val="2"/>
      </rPr>
      <t>[</t>
    </r>
    <r>
      <rPr>
        <sz val="12"/>
        <color indexed="8"/>
        <rFont val="Symbol"/>
        <family val="1"/>
      </rPr>
      <t>-</t>
    </r>
    <r>
      <rPr>
        <sz val="12"/>
        <color indexed="8"/>
        <rFont val="Arial"/>
        <family val="2"/>
      </rPr>
      <t>]</t>
    </r>
  </si>
  <si>
    <r>
      <t>C</t>
    </r>
    <r>
      <rPr>
        <sz val="10"/>
        <color indexed="8"/>
        <rFont val="YU L Swiss"/>
        <family val="2"/>
      </rPr>
      <t xml:space="preserve"> </t>
    </r>
    <r>
      <rPr>
        <sz val="12"/>
        <color indexed="8"/>
        <rFont val="Arial"/>
        <family val="2"/>
      </rPr>
      <t>[</t>
    </r>
    <r>
      <rPr>
        <sz val="12"/>
        <color indexed="8"/>
        <rFont val="Symbol"/>
        <family val="1"/>
      </rPr>
      <t>-</t>
    </r>
    <r>
      <rPr>
        <sz val="12"/>
        <color indexed="8"/>
        <rFont val="Arial"/>
        <family val="2"/>
      </rPr>
      <t>]</t>
    </r>
  </si>
  <si>
    <r>
      <t>D</t>
    </r>
    <r>
      <rPr>
        <vertAlign val="subscript"/>
        <sz val="11"/>
        <color indexed="8"/>
        <rFont val="Times New Roman"/>
        <family val="1"/>
      </rPr>
      <t>1</t>
    </r>
    <r>
      <rPr>
        <sz val="11"/>
        <color indexed="8"/>
        <rFont val="YU L Swiss"/>
        <family val="2"/>
      </rPr>
      <t xml:space="preserve"> </t>
    </r>
    <r>
      <rPr>
        <sz val="11"/>
        <color indexed="8"/>
        <rFont val="Arial"/>
        <family val="2"/>
      </rPr>
      <t>[mm]</t>
    </r>
  </si>
  <si>
    <r>
      <t>s</t>
    </r>
    <r>
      <rPr>
        <i/>
        <vertAlign val="subscript"/>
        <sz val="11"/>
        <color indexed="8"/>
        <rFont val="Times New Roman"/>
        <family val="1"/>
      </rPr>
      <t>e</t>
    </r>
    <r>
      <rPr>
        <sz val="11"/>
        <color indexed="8"/>
        <rFont val="YU L Swiss"/>
        <family val="2"/>
      </rPr>
      <t xml:space="preserve"> </t>
    </r>
    <r>
      <rPr>
        <sz val="11"/>
        <color indexed="8"/>
        <rFont val="Arial"/>
        <family val="2"/>
      </rPr>
      <t>[mm]</t>
    </r>
  </si>
  <si>
    <r>
      <t>p</t>
    </r>
    <r>
      <rPr>
        <i/>
        <vertAlign val="subscript"/>
        <sz val="12"/>
        <color indexed="8"/>
        <rFont val="Times New Roman"/>
        <family val="1"/>
      </rPr>
      <t>B</t>
    </r>
    <r>
      <rPr>
        <sz val="12"/>
        <color indexed="8"/>
        <rFont val="Times New Roman"/>
        <family val="1"/>
      </rPr>
      <t>/</t>
    </r>
    <r>
      <rPr>
        <i/>
        <sz val="12"/>
        <color indexed="8"/>
        <rFont val="Times New Roman"/>
        <family val="1"/>
      </rPr>
      <t>E</t>
    </r>
    <r>
      <rPr>
        <sz val="10"/>
        <color indexed="8"/>
        <rFont val="YU L Swiss"/>
        <family val="2"/>
      </rPr>
      <t xml:space="preserve"> </t>
    </r>
    <r>
      <rPr>
        <sz val="12"/>
        <color indexed="8"/>
        <rFont val="Arial"/>
        <family val="2"/>
      </rPr>
      <t>[</t>
    </r>
    <r>
      <rPr>
        <sz val="12"/>
        <color indexed="8"/>
        <rFont val="Symbol"/>
        <family val="1"/>
      </rPr>
      <t>-</t>
    </r>
    <r>
      <rPr>
        <sz val="12"/>
        <color indexed="8"/>
        <rFont val="Arial"/>
        <family val="2"/>
      </rPr>
      <t>]</t>
    </r>
  </si>
  <si>
    <r>
      <t>p</t>
    </r>
    <r>
      <rPr>
        <i/>
        <vertAlign val="subscript"/>
        <sz val="12"/>
        <color indexed="8"/>
        <rFont val="Times New Roman"/>
        <family val="1"/>
      </rPr>
      <t>B</t>
    </r>
    <r>
      <rPr>
        <sz val="11"/>
        <color indexed="8"/>
        <rFont val="YU L Swiss"/>
        <family val="2"/>
      </rPr>
      <t xml:space="preserve"> </t>
    </r>
    <r>
      <rPr>
        <sz val="11"/>
        <color indexed="8"/>
        <rFont val="Arial"/>
        <family val="2"/>
      </rPr>
      <t>[bar]</t>
    </r>
  </si>
  <si>
    <r>
      <t>p</t>
    </r>
    <r>
      <rPr>
        <i/>
        <vertAlign val="subscript"/>
        <sz val="12"/>
        <color indexed="8"/>
        <rFont val="Times New Roman"/>
        <family val="1"/>
      </rPr>
      <t>B</t>
    </r>
    <r>
      <rPr>
        <i/>
        <sz val="12"/>
        <color indexed="8"/>
        <rFont val="Times New Roman"/>
        <family val="1"/>
      </rPr>
      <t xml:space="preserve"> </t>
    </r>
  </si>
  <si>
    <r>
      <t xml:space="preserve">1,5 </t>
    </r>
    <r>
      <rPr>
        <i/>
        <sz val="12"/>
        <color indexed="8"/>
        <rFont val="Times New Roman"/>
        <family val="1"/>
      </rPr>
      <t>p</t>
    </r>
    <r>
      <rPr>
        <i/>
        <vertAlign val="subscript"/>
        <sz val="12"/>
        <color indexed="8"/>
        <rFont val="Times New Roman"/>
        <family val="1"/>
      </rPr>
      <t>pr</t>
    </r>
  </si>
  <si>
    <r>
      <t xml:space="preserve">t </t>
    </r>
    <r>
      <rPr>
        <sz val="11"/>
        <color indexed="8"/>
        <rFont val="Arial"/>
        <family val="2"/>
      </rPr>
      <t>[mm]</t>
    </r>
  </si>
  <si>
    <r>
      <t>a</t>
    </r>
    <r>
      <rPr>
        <sz val="10"/>
        <color indexed="8"/>
        <rFont val="Arial"/>
        <family val="2"/>
      </rPr>
      <t xml:space="preserve"> [kW/(m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K)]</t>
    </r>
  </si>
  <si>
    <t>KOEFICIJENT PRELAZA TOPLOTE KONVEKCIJOM</t>
  </si>
  <si>
    <t>Prantlov broj u registru</t>
  </si>
  <si>
    <t>Brzina u najmanjem preseku M</t>
  </si>
  <si>
    <t>Odnos pada pritiska GADDIS/BELL DELAWARE</t>
  </si>
  <si>
    <t>NAPOMENA</t>
  </si>
  <si>
    <r>
      <t>D</t>
    </r>
    <r>
      <rPr>
        <i/>
        <sz val="12"/>
        <color indexed="8"/>
        <rFont val="Arial"/>
        <family val="2"/>
      </rPr>
      <t>t</t>
    </r>
    <r>
      <rPr>
        <i/>
        <vertAlign val="subscript"/>
        <sz val="12"/>
        <color indexed="8"/>
        <rFont val="Arial"/>
        <family val="2"/>
      </rPr>
      <t>p</t>
    </r>
    <r>
      <rPr>
        <sz val="12"/>
        <color indexed="8"/>
        <rFont val="Arial"/>
        <family val="2"/>
      </rPr>
      <t xml:space="preserve"> [K]</t>
    </r>
  </si>
  <si>
    <r>
      <t>D</t>
    </r>
    <r>
      <rPr>
        <i/>
        <sz val="12"/>
        <color indexed="8"/>
        <rFont val="Arial"/>
        <family val="2"/>
      </rPr>
      <t>t</t>
    </r>
    <r>
      <rPr>
        <sz val="12"/>
        <color indexed="8"/>
        <rFont val="Arial"/>
        <family val="2"/>
      </rPr>
      <t xml:space="preserve"> [K]</t>
    </r>
  </si>
  <si>
    <t>kontrolne</t>
  </si>
  <si>
    <t>uslove</t>
  </si>
  <si>
    <t>Temperaturska razlika</t>
  </si>
  <si>
    <r>
      <t xml:space="preserve">y </t>
    </r>
    <r>
      <rPr>
        <sz val="9"/>
        <rFont val="Arial"/>
        <family val="2"/>
      </rPr>
      <t xml:space="preserve">= </t>
    </r>
    <r>
      <rPr>
        <sz val="11"/>
        <rFont val="Arial"/>
        <family val="2"/>
      </rPr>
      <t>(</t>
    </r>
    <r>
      <rPr>
        <i/>
        <sz val="11"/>
        <rFont val="Times New Roman"/>
        <family val="1"/>
      </rPr>
      <t>t</t>
    </r>
    <r>
      <rPr>
        <i/>
        <vertAlign val="subscript"/>
        <sz val="11"/>
        <rFont val="Times New Roman"/>
        <family val="1"/>
      </rPr>
      <t>u</t>
    </r>
    <r>
      <rPr>
        <sz val="8.5"/>
        <rFont val="Symbol"/>
        <family val="1"/>
      </rPr>
      <t>-</t>
    </r>
    <r>
      <rPr>
        <i/>
        <sz val="11"/>
        <rFont val="Times New Roman"/>
        <family val="1"/>
      </rPr>
      <t>t</t>
    </r>
    <r>
      <rPr>
        <i/>
        <vertAlign val="subscript"/>
        <sz val="11"/>
        <rFont val="Times New Roman"/>
        <family val="1"/>
      </rPr>
      <t>k</t>
    </r>
    <r>
      <rPr>
        <sz val="11"/>
        <rFont val="Arial"/>
        <family val="2"/>
      </rPr>
      <t>)/(</t>
    </r>
    <r>
      <rPr>
        <i/>
        <sz val="11"/>
        <rFont val="Times New Roman"/>
        <family val="1"/>
      </rPr>
      <t>t</t>
    </r>
    <r>
      <rPr>
        <i/>
        <vertAlign val="subscript"/>
        <sz val="11"/>
        <rFont val="Times New Roman"/>
        <family val="1"/>
      </rPr>
      <t>u</t>
    </r>
    <r>
      <rPr>
        <sz val="8.5"/>
        <rFont val="Symbol"/>
        <family val="1"/>
      </rPr>
      <t>-</t>
    </r>
    <r>
      <rPr>
        <i/>
        <sz val="11"/>
        <rFont val="Times New Roman"/>
        <family val="1"/>
      </rPr>
      <t>t</t>
    </r>
    <r>
      <rPr>
        <i/>
        <vertAlign val="subscript"/>
        <sz val="11"/>
        <rFont val="Times New Roman"/>
        <family val="1"/>
      </rPr>
      <t>s</t>
    </r>
    <r>
      <rPr>
        <sz val="11"/>
        <rFont val="Arial"/>
        <family val="2"/>
      </rPr>
      <t>)[</t>
    </r>
    <r>
      <rPr>
        <sz val="11"/>
        <rFont val="Symbol"/>
        <family val="1"/>
      </rPr>
      <t>-</t>
    </r>
    <r>
      <rPr>
        <sz val="11"/>
        <rFont val="Arial"/>
        <family val="2"/>
      </rPr>
      <t>]</t>
    </r>
  </si>
  <si>
    <r>
      <t>[N/mm</t>
    </r>
    <r>
      <rPr>
        <vertAlign val="super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]</t>
    </r>
  </si>
  <si>
    <t>b</t>
  </si>
  <si>
    <r>
      <t>d</t>
    </r>
  </si>
  <si>
    <t>Jedinica mere</t>
  </si>
  <si>
    <r>
      <t>p</t>
    </r>
    <r>
      <rPr>
        <i/>
        <vertAlign val="subscript"/>
        <sz val="12"/>
        <color indexed="8"/>
        <rFont val="Times New Roman"/>
        <family val="1"/>
      </rPr>
      <t xml:space="preserve">bmax </t>
    </r>
  </si>
  <si>
    <t>[mm]</t>
  </si>
  <si>
    <r>
      <t>t</t>
    </r>
    <r>
      <rPr>
        <i/>
        <vertAlign val="subscript"/>
        <sz val="12"/>
        <color indexed="8"/>
        <rFont val="Times New Roman"/>
        <family val="1"/>
      </rPr>
      <t>pr</t>
    </r>
    <r>
      <rPr>
        <i/>
        <sz val="12"/>
        <color indexed="8"/>
        <rFont val="Times New Roman"/>
        <family val="1"/>
      </rPr>
      <t xml:space="preserve"> </t>
    </r>
    <r>
      <rPr>
        <sz val="11"/>
        <color indexed="8"/>
        <rFont val="Arial"/>
        <family val="2"/>
      </rPr>
      <t>[</t>
    </r>
    <r>
      <rPr>
        <vertAlign val="superscript"/>
        <sz val="11"/>
        <color indexed="8"/>
        <rFont val="Arial"/>
        <family val="2"/>
      </rPr>
      <t>o</t>
    </r>
    <r>
      <rPr>
        <sz val="11"/>
        <color indexed="8"/>
        <rFont val="Arial"/>
        <family val="2"/>
      </rPr>
      <t>C]</t>
    </r>
  </si>
  <si>
    <r>
      <t>D</t>
    </r>
    <r>
      <rPr>
        <i/>
        <vertAlign val="subscript"/>
        <sz val="12"/>
        <color indexed="8"/>
        <rFont val="Times New Roman"/>
        <family val="1"/>
      </rPr>
      <t>u</t>
    </r>
    <r>
      <rPr>
        <sz val="11"/>
        <color indexed="8"/>
        <rFont val="YU L Swiss"/>
        <family val="2"/>
      </rPr>
      <t xml:space="preserve"> </t>
    </r>
    <r>
      <rPr>
        <sz val="11"/>
        <color indexed="8"/>
        <rFont val="Arial"/>
        <family val="2"/>
      </rPr>
      <t>[mm]</t>
    </r>
  </si>
  <si>
    <r>
      <t>D</t>
    </r>
    <r>
      <rPr>
        <i/>
        <vertAlign val="subscript"/>
        <sz val="12"/>
        <color indexed="8"/>
        <rFont val="Times New Roman"/>
        <family val="1"/>
      </rPr>
      <t>u</t>
    </r>
    <r>
      <rPr>
        <sz val="11"/>
        <color indexed="8"/>
        <rFont val="Arial"/>
        <family val="2"/>
      </rPr>
      <t>[mm]</t>
    </r>
  </si>
  <si>
    <r>
      <t>D</t>
    </r>
    <r>
      <rPr>
        <i/>
        <vertAlign val="subscript"/>
        <sz val="12"/>
        <color indexed="8"/>
        <rFont val="Times New Roman"/>
        <family val="1"/>
      </rPr>
      <t>d</t>
    </r>
    <r>
      <rPr>
        <sz val="11"/>
        <color indexed="8"/>
        <rFont val="Arial"/>
        <family val="2"/>
      </rPr>
      <t>[mm]</t>
    </r>
  </si>
  <si>
    <r>
      <t>z</t>
    </r>
    <r>
      <rPr>
        <vertAlign val="subscript"/>
        <sz val="12"/>
        <color indexed="8"/>
        <rFont val="Times New Roman"/>
        <family val="1"/>
      </rPr>
      <t>5</t>
    </r>
    <r>
      <rPr>
        <sz val="11"/>
        <color indexed="8"/>
        <rFont val="YU L Swiss"/>
        <family val="2"/>
      </rPr>
      <t xml:space="preserve"> </t>
    </r>
    <r>
      <rPr>
        <sz val="11"/>
        <color indexed="8"/>
        <rFont val="Arial"/>
        <family val="2"/>
      </rPr>
      <t>[mm]</t>
    </r>
  </si>
  <si>
    <r>
      <t>S</t>
    </r>
    <r>
      <rPr>
        <i/>
        <vertAlign val="subscript"/>
        <sz val="12"/>
        <color indexed="8"/>
        <rFont val="Times New Roman"/>
        <family val="1"/>
      </rPr>
      <t>D</t>
    </r>
    <r>
      <rPr>
        <sz val="10"/>
        <color indexed="8"/>
        <rFont val="YU L Swiss"/>
        <family val="2"/>
      </rPr>
      <t xml:space="preserve"> </t>
    </r>
    <r>
      <rPr>
        <sz val="10"/>
        <color indexed="8"/>
        <rFont val="Arial"/>
        <family val="2"/>
      </rPr>
      <t>[ - ]</t>
    </r>
  </si>
  <si>
    <r>
      <t>k</t>
    </r>
    <r>
      <rPr>
        <vertAlign val="subscript"/>
        <sz val="12"/>
        <color indexed="8"/>
        <rFont val="Times New Roman"/>
        <family val="1"/>
      </rPr>
      <t>1</t>
    </r>
    <r>
      <rPr>
        <sz val="10"/>
        <color indexed="8"/>
        <rFont val="YU L Swiss"/>
        <family val="2"/>
      </rPr>
      <t xml:space="preserve"> </t>
    </r>
    <r>
      <rPr>
        <sz val="10"/>
        <color indexed="8"/>
        <rFont val="Arial"/>
        <family val="2"/>
      </rPr>
      <t>[ - ]</t>
    </r>
  </si>
  <si>
    <r>
      <t>k</t>
    </r>
    <r>
      <rPr>
        <i/>
        <vertAlign val="subscript"/>
        <sz val="11"/>
        <color indexed="8"/>
        <rFont val="Times New Roman"/>
        <family val="1"/>
      </rPr>
      <t>oKD</t>
    </r>
    <r>
      <rPr>
        <sz val="10"/>
        <color indexed="8"/>
        <rFont val="Arial"/>
        <family val="2"/>
      </rPr>
      <t>[N/mm]</t>
    </r>
  </si>
  <si>
    <r>
      <t>n</t>
    </r>
    <r>
      <rPr>
        <sz val="11"/>
        <color indexed="8"/>
        <rFont val="YU L Swiss"/>
        <family val="2"/>
      </rPr>
      <t xml:space="preserve"> </t>
    </r>
    <r>
      <rPr>
        <sz val="11"/>
        <color indexed="8"/>
        <rFont val="Arial"/>
        <family val="2"/>
      </rPr>
      <t>[ - ]</t>
    </r>
  </si>
  <si>
    <r>
      <t>Z</t>
    </r>
    <r>
      <rPr>
        <sz val="11"/>
        <color indexed="8"/>
        <rFont val="YU L Swiss"/>
        <family val="2"/>
      </rPr>
      <t xml:space="preserve"> </t>
    </r>
    <r>
      <rPr>
        <sz val="11"/>
        <color indexed="8"/>
        <rFont val="Arial"/>
        <family val="2"/>
      </rPr>
      <t>[ - ]</t>
    </r>
  </si>
  <si>
    <r>
      <t>F</t>
    </r>
    <r>
      <rPr>
        <i/>
        <vertAlign val="subscript"/>
        <sz val="12"/>
        <color indexed="8"/>
        <rFont val="Times New Roman"/>
        <family val="1"/>
      </rPr>
      <t>RB</t>
    </r>
    <r>
      <rPr>
        <sz val="11"/>
        <color indexed="8"/>
        <rFont val="YU L Swiss"/>
        <family val="2"/>
      </rPr>
      <t xml:space="preserve"> </t>
    </r>
    <r>
      <rPr>
        <sz val="11"/>
        <color indexed="8"/>
        <rFont val="Arial"/>
        <family val="2"/>
      </rPr>
      <t>[kN]</t>
    </r>
  </si>
  <si>
    <r>
      <t>n</t>
    </r>
    <r>
      <rPr>
        <i/>
        <vertAlign val="subscript"/>
        <sz val="12"/>
        <color indexed="8"/>
        <rFont val="Times New Roman"/>
        <family val="1"/>
      </rPr>
      <t>min</t>
    </r>
    <r>
      <rPr>
        <sz val="12"/>
        <color indexed="8"/>
        <rFont val="Arial"/>
        <family val="2"/>
      </rPr>
      <t>[ - ]</t>
    </r>
  </si>
  <si>
    <r>
      <t>F</t>
    </r>
    <r>
      <rPr>
        <i/>
        <vertAlign val="subscript"/>
        <sz val="12"/>
        <color indexed="8"/>
        <rFont val="Times New Roman"/>
        <family val="1"/>
      </rPr>
      <t>FB</t>
    </r>
    <r>
      <rPr>
        <sz val="11"/>
        <color indexed="8"/>
        <rFont val="YU L Swiss"/>
        <family val="2"/>
      </rPr>
      <t xml:space="preserve"> </t>
    </r>
    <r>
      <rPr>
        <sz val="11"/>
        <color indexed="8"/>
        <rFont val="Arial"/>
        <family val="2"/>
      </rPr>
      <t>[kN]</t>
    </r>
  </si>
  <si>
    <r>
      <t>F</t>
    </r>
    <r>
      <rPr>
        <i/>
        <vertAlign val="subscript"/>
        <sz val="12"/>
        <color indexed="8"/>
        <rFont val="Times New Roman"/>
        <family val="1"/>
      </rPr>
      <t>DB</t>
    </r>
    <r>
      <rPr>
        <sz val="11"/>
        <color indexed="8"/>
        <rFont val="YU L Swiss"/>
        <family val="2"/>
      </rPr>
      <t xml:space="preserve"> </t>
    </r>
    <r>
      <rPr>
        <sz val="11"/>
        <color indexed="8"/>
        <rFont val="Arial"/>
        <family val="2"/>
      </rPr>
      <t>[kN]</t>
    </r>
  </si>
  <si>
    <r>
      <t>F</t>
    </r>
    <r>
      <rPr>
        <i/>
        <vertAlign val="subscript"/>
        <sz val="12"/>
        <color indexed="8"/>
        <rFont val="Times New Roman"/>
        <family val="1"/>
      </rPr>
      <t>SB</t>
    </r>
    <r>
      <rPr>
        <sz val="11"/>
        <color indexed="8"/>
        <rFont val="YU L Swiss"/>
        <family val="2"/>
      </rPr>
      <t xml:space="preserve"> </t>
    </r>
    <r>
      <rPr>
        <sz val="11"/>
        <color indexed="8"/>
        <rFont val="Arial"/>
        <family val="2"/>
      </rPr>
      <t>[kN]</t>
    </r>
  </si>
  <si>
    <r>
      <t>F</t>
    </r>
    <r>
      <rPr>
        <i/>
        <vertAlign val="subscript"/>
        <sz val="12"/>
        <color indexed="8"/>
        <rFont val="Times New Roman"/>
        <family val="1"/>
      </rPr>
      <t>DV</t>
    </r>
    <r>
      <rPr>
        <sz val="11"/>
        <color indexed="8"/>
        <rFont val="YU L Swiss"/>
        <family val="2"/>
      </rPr>
      <t xml:space="preserve"> </t>
    </r>
    <r>
      <rPr>
        <sz val="11"/>
        <color indexed="8"/>
        <rFont val="Arial"/>
        <family val="2"/>
      </rPr>
      <t>[kN]</t>
    </r>
  </si>
  <si>
    <r>
      <t>F</t>
    </r>
    <r>
      <rPr>
        <i/>
        <vertAlign val="subscript"/>
        <sz val="12"/>
        <color indexed="8"/>
        <rFont val="Times New Roman"/>
        <family val="1"/>
      </rPr>
      <t>DVu</t>
    </r>
    <r>
      <rPr>
        <sz val="11"/>
        <color indexed="8"/>
        <rFont val="Arial"/>
        <family val="2"/>
      </rPr>
      <t>[kN]</t>
    </r>
  </si>
  <si>
    <r>
      <t>d'</t>
    </r>
    <r>
      <rPr>
        <i/>
        <vertAlign val="subscript"/>
        <sz val="12"/>
        <color indexed="8"/>
        <rFont val="Times New Roman"/>
        <family val="1"/>
      </rPr>
      <t>k</t>
    </r>
    <r>
      <rPr>
        <sz val="11"/>
        <color indexed="8"/>
        <rFont val="YU L Swiss"/>
        <family val="2"/>
      </rPr>
      <t xml:space="preserve"> </t>
    </r>
    <r>
      <rPr>
        <sz val="11"/>
        <color indexed="8"/>
        <rFont val="Arial"/>
        <family val="2"/>
      </rPr>
      <t>[mm]</t>
    </r>
  </si>
  <si>
    <r>
      <t>d</t>
    </r>
    <r>
      <rPr>
        <i/>
        <vertAlign val="subscript"/>
        <sz val="12"/>
        <color indexed="8"/>
        <rFont val="Times New Roman"/>
        <family val="1"/>
      </rPr>
      <t>k</t>
    </r>
    <r>
      <rPr>
        <sz val="11"/>
        <color indexed="8"/>
        <rFont val="YU L Swiss"/>
        <family val="2"/>
      </rPr>
      <t xml:space="preserve"> </t>
    </r>
    <r>
      <rPr>
        <sz val="11"/>
        <color indexed="8"/>
        <rFont val="Arial"/>
        <family val="2"/>
      </rPr>
      <t>[mm]</t>
    </r>
  </si>
  <si>
    <r>
      <t>p</t>
    </r>
    <r>
      <rPr>
        <i/>
        <vertAlign val="subscript"/>
        <sz val="11"/>
        <color indexed="8"/>
        <rFont val="Times New Roman"/>
        <family val="1"/>
      </rPr>
      <t>bmin</t>
    </r>
    <r>
      <rPr>
        <sz val="10"/>
        <color indexed="8"/>
        <rFont val="Arial"/>
        <family val="2"/>
      </rPr>
      <t>[N/mm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]</t>
    </r>
  </si>
  <si>
    <r>
      <t>p</t>
    </r>
    <r>
      <rPr>
        <i/>
        <vertAlign val="subscript"/>
        <sz val="11"/>
        <color indexed="8"/>
        <rFont val="Times New Roman"/>
        <family val="1"/>
      </rPr>
      <t>b</t>
    </r>
    <r>
      <rPr>
        <sz val="10"/>
        <color indexed="8"/>
        <rFont val="Arial"/>
        <family val="2"/>
      </rPr>
      <t>[N/mm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]</t>
    </r>
  </si>
  <si>
    <r>
      <t>M</t>
    </r>
    <r>
      <rPr>
        <i/>
        <vertAlign val="subscript"/>
        <sz val="12"/>
        <color indexed="8"/>
        <rFont val="Times New Roman"/>
        <family val="1"/>
      </rPr>
      <t>o</t>
    </r>
    <r>
      <rPr>
        <sz val="11"/>
        <color indexed="8"/>
        <rFont val="YU L Swiss"/>
        <family val="2"/>
      </rPr>
      <t xml:space="preserve"> </t>
    </r>
    <r>
      <rPr>
        <sz val="11"/>
        <color indexed="8"/>
        <rFont val="Arial"/>
        <family val="2"/>
      </rPr>
      <t>[Nm]</t>
    </r>
  </si>
  <si>
    <r>
      <t>d</t>
    </r>
    <r>
      <rPr>
        <vertAlign val="subscript"/>
        <sz val="12"/>
        <color indexed="8"/>
        <rFont val="Times New Roman"/>
        <family val="1"/>
      </rPr>
      <t>2</t>
    </r>
    <r>
      <rPr>
        <sz val="11"/>
        <color indexed="8"/>
        <rFont val="YU L Swiss"/>
        <family val="2"/>
      </rPr>
      <t xml:space="preserve"> </t>
    </r>
    <r>
      <rPr>
        <sz val="11"/>
        <color indexed="8"/>
        <rFont val="Arial"/>
        <family val="2"/>
      </rPr>
      <t>[mm]</t>
    </r>
  </si>
  <si>
    <r>
      <t>d</t>
    </r>
    <r>
      <rPr>
        <i/>
        <vertAlign val="subscript"/>
        <sz val="12"/>
        <color indexed="8"/>
        <rFont val="Times New Roman"/>
        <family val="1"/>
      </rPr>
      <t>L</t>
    </r>
    <r>
      <rPr>
        <sz val="11"/>
        <color indexed="8"/>
        <rFont val="YU L Swiss"/>
        <family val="2"/>
      </rPr>
      <t xml:space="preserve"> </t>
    </r>
    <r>
      <rPr>
        <sz val="11"/>
        <color indexed="8"/>
        <rFont val="Arial"/>
        <family val="2"/>
      </rPr>
      <t>[mm]</t>
    </r>
  </si>
  <si>
    <r>
      <t>l</t>
    </r>
    <r>
      <rPr>
        <sz val="11"/>
        <color indexed="8"/>
        <rFont val="YU L Swiss"/>
        <family val="2"/>
      </rPr>
      <t xml:space="preserve"> </t>
    </r>
    <r>
      <rPr>
        <sz val="11"/>
        <color indexed="8"/>
        <rFont val="Arial"/>
        <family val="2"/>
      </rPr>
      <t>[ m ]</t>
    </r>
  </si>
  <si>
    <r>
      <t>F</t>
    </r>
    <r>
      <rPr>
        <i/>
        <vertAlign val="subscript"/>
        <sz val="12"/>
        <color indexed="8"/>
        <rFont val="Times New Roman"/>
        <family val="1"/>
      </rPr>
      <t>r</t>
    </r>
    <r>
      <rPr>
        <sz val="11"/>
        <color indexed="8"/>
        <rFont val="YU L Swiss"/>
        <family val="2"/>
      </rPr>
      <t xml:space="preserve"> </t>
    </r>
    <r>
      <rPr>
        <sz val="11"/>
        <color indexed="8"/>
        <rFont val="Arial"/>
        <family val="2"/>
      </rPr>
      <t>[N]</t>
    </r>
  </si>
  <si>
    <r>
      <t>d</t>
    </r>
    <r>
      <rPr>
        <i/>
        <vertAlign val="subscript"/>
        <sz val="12"/>
        <color indexed="8"/>
        <rFont val="Times New Roman"/>
        <family val="1"/>
      </rPr>
      <t>s</t>
    </r>
    <r>
      <rPr>
        <sz val="11"/>
        <color indexed="8"/>
        <rFont val="YU L Swiss"/>
        <family val="2"/>
      </rPr>
      <t xml:space="preserve"> </t>
    </r>
    <r>
      <rPr>
        <sz val="11"/>
        <color indexed="8"/>
        <rFont val="Arial"/>
        <family val="2"/>
      </rPr>
      <t>[mm]</t>
    </r>
  </si>
  <si>
    <r>
      <t>d</t>
    </r>
    <r>
      <rPr>
        <i/>
        <vertAlign val="subscript"/>
        <sz val="11"/>
        <color indexed="8"/>
        <rFont val="Times New Roman"/>
        <family val="1"/>
      </rPr>
      <t>smin</t>
    </r>
    <r>
      <rPr>
        <sz val="10"/>
        <color indexed="8"/>
        <rFont val="Arial"/>
        <family val="2"/>
      </rPr>
      <t>[mm]</t>
    </r>
  </si>
  <si>
    <r>
      <t>d</t>
    </r>
    <r>
      <rPr>
        <i/>
        <vertAlign val="subscript"/>
        <sz val="11"/>
        <color indexed="8"/>
        <rFont val="Times New Roman"/>
        <family val="1"/>
      </rPr>
      <t>tmin</t>
    </r>
    <r>
      <rPr>
        <sz val="10"/>
        <color indexed="8"/>
        <rFont val="Arial"/>
        <family val="2"/>
      </rPr>
      <t>[mm]</t>
    </r>
  </si>
  <si>
    <r>
      <t>d</t>
    </r>
    <r>
      <rPr>
        <i/>
        <vertAlign val="subscript"/>
        <sz val="12"/>
        <color indexed="8"/>
        <rFont val="Times New Roman"/>
        <family val="1"/>
      </rPr>
      <t>t</t>
    </r>
    <r>
      <rPr>
        <sz val="11"/>
        <color indexed="8"/>
        <rFont val="YU L Swiss"/>
        <family val="2"/>
      </rPr>
      <t xml:space="preserve"> </t>
    </r>
    <r>
      <rPr>
        <sz val="11"/>
        <color indexed="8"/>
        <rFont val="Arial"/>
        <family val="2"/>
      </rPr>
      <t>[mm]</t>
    </r>
  </si>
  <si>
    <r>
      <t>D</t>
    </r>
    <r>
      <rPr>
        <i/>
        <vertAlign val="subscript"/>
        <sz val="12"/>
        <color indexed="8"/>
        <rFont val="Times New Roman"/>
        <family val="1"/>
      </rPr>
      <t>d</t>
    </r>
    <r>
      <rPr>
        <sz val="11"/>
        <color indexed="8"/>
        <rFont val="YU L Swiss"/>
        <family val="2"/>
      </rPr>
      <t xml:space="preserve"> </t>
    </r>
    <r>
      <rPr>
        <sz val="11"/>
        <color indexed="8"/>
        <rFont val="Arial"/>
        <family val="2"/>
      </rPr>
      <t>[mm]</t>
    </r>
  </si>
  <si>
    <r>
      <t>F</t>
    </r>
    <r>
      <rPr>
        <i/>
        <vertAlign val="subscript"/>
        <sz val="12"/>
        <color indexed="8"/>
        <rFont val="Times New Roman"/>
        <family val="1"/>
      </rPr>
      <t>SP</t>
    </r>
    <r>
      <rPr>
        <sz val="11"/>
        <color indexed="8"/>
        <rFont val="YU L Swiss"/>
        <family val="2"/>
      </rPr>
      <t xml:space="preserve"> </t>
    </r>
    <r>
      <rPr>
        <sz val="11"/>
        <color indexed="8"/>
        <rFont val="Arial"/>
        <family val="2"/>
      </rPr>
      <t>[kN]</t>
    </r>
  </si>
  <si>
    <r>
      <t>S,S</t>
    </r>
    <r>
      <rPr>
        <i/>
        <vertAlign val="subscript"/>
        <sz val="12"/>
        <color indexed="8"/>
        <rFont val="Times New Roman"/>
        <family val="1"/>
      </rPr>
      <t>i</t>
    </r>
    <r>
      <rPr>
        <sz val="11"/>
        <color indexed="8"/>
        <rFont val="YU L Swiss"/>
        <family val="2"/>
      </rPr>
      <t xml:space="preserve"> </t>
    </r>
    <r>
      <rPr>
        <sz val="11"/>
        <color indexed="8"/>
        <rFont val="Arial"/>
        <family val="2"/>
      </rPr>
      <t>[ - ]</t>
    </r>
  </si>
  <si>
    <r>
      <t>d'</t>
    </r>
    <r>
      <rPr>
        <i/>
        <vertAlign val="subscript"/>
        <sz val="12"/>
        <color indexed="8"/>
        <rFont val="Times New Roman"/>
        <family val="1"/>
      </rPr>
      <t>L</t>
    </r>
    <r>
      <rPr>
        <sz val="11"/>
        <color indexed="8"/>
        <rFont val="YU L Swiss"/>
        <family val="2"/>
      </rPr>
      <t xml:space="preserve"> </t>
    </r>
    <r>
      <rPr>
        <sz val="11"/>
        <color indexed="8"/>
        <rFont val="Arial"/>
        <family val="2"/>
      </rPr>
      <t>[mm]</t>
    </r>
  </si>
  <si>
    <r>
      <t>W</t>
    </r>
    <r>
      <rPr>
        <sz val="11"/>
        <color indexed="8"/>
        <rFont val="YU L Swiss"/>
        <family val="2"/>
      </rPr>
      <t xml:space="preserve"> </t>
    </r>
    <r>
      <rPr>
        <sz val="11"/>
        <color indexed="8"/>
        <rFont val="Arial"/>
        <family val="2"/>
      </rPr>
      <t>[mm</t>
    </r>
    <r>
      <rPr>
        <vertAlign val="superscript"/>
        <sz val="11"/>
        <color indexed="8"/>
        <rFont val="Arial"/>
        <family val="2"/>
      </rPr>
      <t>3</t>
    </r>
    <r>
      <rPr>
        <sz val="11"/>
        <color indexed="8"/>
        <rFont val="Arial"/>
        <family val="2"/>
      </rPr>
      <t>]</t>
    </r>
  </si>
  <si>
    <r>
      <t>h</t>
    </r>
    <r>
      <rPr>
        <sz val="11"/>
        <color indexed="8"/>
        <rFont val="YU L Swiss"/>
        <family val="2"/>
      </rPr>
      <t xml:space="preserve"> </t>
    </r>
    <r>
      <rPr>
        <sz val="11"/>
        <color indexed="8"/>
        <rFont val="Arial"/>
        <family val="2"/>
      </rPr>
      <t>[mm]</t>
    </r>
  </si>
  <si>
    <r>
      <t>h</t>
    </r>
    <r>
      <rPr>
        <i/>
        <vertAlign val="subscript"/>
        <sz val="11"/>
        <color indexed="8"/>
        <rFont val="Times New Roman"/>
        <family val="1"/>
      </rPr>
      <t>e</t>
    </r>
    <r>
      <rPr>
        <sz val="11"/>
        <color indexed="8"/>
        <rFont val="YU L Swiss"/>
        <family val="2"/>
      </rPr>
      <t xml:space="preserve"> </t>
    </r>
    <r>
      <rPr>
        <sz val="11"/>
        <color indexed="8"/>
        <rFont val="Arial"/>
        <family val="2"/>
      </rPr>
      <t>[mm]</t>
    </r>
  </si>
  <si>
    <t>GEOMETRIJSKE VELIČINE RAZMENJIVAČA TOPLOTE</t>
  </si>
  <si>
    <t>Početni vertikalni korak</t>
  </si>
  <si>
    <t>Početni horizontalni korak</t>
  </si>
  <si>
    <t>Vertikalni razmak između cevi</t>
  </si>
  <si>
    <t>Horizontalni razmak između cevi</t>
  </si>
  <si>
    <t>Dijagonalni razmak između cevi</t>
  </si>
  <si>
    <t>Broj prolaza u omotaču</t>
  </si>
  <si>
    <t>Položaj prvog otvora PLOČE (tip konfigur.)</t>
  </si>
  <si>
    <t>Ukupni broj otvora na cevnoj ploči</t>
  </si>
  <si>
    <r>
      <t>Minimalni razmak ose cevi od</t>
    </r>
    <r>
      <rPr>
        <i/>
        <sz val="11"/>
        <color indexed="8"/>
        <rFont val="Arial"/>
        <family val="2"/>
      </rPr>
      <t xml:space="preserve"> D</t>
    </r>
    <r>
      <rPr>
        <i/>
        <vertAlign val="subscript"/>
        <sz val="11"/>
        <color indexed="8"/>
        <rFont val="Arial"/>
        <family val="2"/>
      </rPr>
      <t>u</t>
    </r>
  </si>
  <si>
    <t>Spoljašnji prečnik omotača</t>
  </si>
  <si>
    <t>Debljina zida omotača</t>
  </si>
  <si>
    <t>Unutrašnji prečnik omotača</t>
  </si>
  <si>
    <r>
      <t xml:space="preserve">Zadat minimalni zazor </t>
    </r>
    <r>
      <rPr>
        <i/>
        <sz val="11"/>
        <color indexed="8"/>
        <rFont val="Arial"/>
        <family val="2"/>
      </rPr>
      <t>D</t>
    </r>
    <r>
      <rPr>
        <i/>
        <vertAlign val="subscript"/>
        <sz val="11"/>
        <color indexed="8"/>
        <rFont val="Arial"/>
        <family val="2"/>
      </rPr>
      <t>d</t>
    </r>
  </si>
  <si>
    <t>Spoljašnji prečnik cevi</t>
  </si>
  <si>
    <t>Unutra{nji prečnik cevi registra</t>
  </si>
  <si>
    <t>Maksimalni prečnik savijanja cevi</t>
  </si>
  <si>
    <t>GEOMETRIJA  OKNA za POPREČNO STRUJANJE U PLAŠTU</t>
  </si>
  <si>
    <t>Broj prvog reda početka okna</t>
  </si>
  <si>
    <t>Najveća visina okna</t>
  </si>
  <si>
    <t>Odnos visine okna i prečnika omotača</t>
  </si>
  <si>
    <t>Broj cevi u oknu po preseku omotača</t>
  </si>
  <si>
    <t>Broj poprečno nastr. cevi neparna kol.</t>
  </si>
  <si>
    <t>Broj poprečno nastr. cevi parna kol.</t>
  </si>
  <si>
    <t>Tekući</t>
  </si>
  <si>
    <t>Površina lukova</t>
  </si>
  <si>
    <r>
      <t xml:space="preserve">Ukupni broj otvora </t>
    </r>
    <r>
      <rPr>
        <i/>
        <sz val="12"/>
        <rFont val="Arial"/>
        <family val="2"/>
      </rPr>
      <t>n</t>
    </r>
    <r>
      <rPr>
        <sz val="10"/>
        <rFont val="Arial"/>
        <family val="2"/>
      </rPr>
      <t xml:space="preserve"> na cevnoj ploči</t>
    </r>
  </si>
  <si>
    <t>GEOMETRIJA  DOBOŠASTOG  RAZMENJIVAČA TOPLOTE</t>
  </si>
  <si>
    <r>
      <t>Spec.toplotni kapacitet pri t</t>
    </r>
    <r>
      <rPr>
        <sz val="9"/>
        <color indexed="8"/>
        <rFont val="Arial"/>
        <family val="2"/>
      </rPr>
      <t>sr</t>
    </r>
  </si>
  <si>
    <r>
      <t>Gustina pri</t>
    </r>
    <r>
      <rPr>
        <i/>
        <sz val="12"/>
        <color indexed="8"/>
        <rFont val="Arial"/>
        <family val="2"/>
      </rPr>
      <t xml:space="preserve"> t</t>
    </r>
    <r>
      <rPr>
        <i/>
        <vertAlign val="subscript"/>
        <sz val="12"/>
        <color indexed="8"/>
        <rFont val="Arial"/>
        <family val="2"/>
      </rPr>
      <t>sr</t>
    </r>
  </si>
  <si>
    <r>
      <t>Kinematski viskozitet pri t</t>
    </r>
    <r>
      <rPr>
        <sz val="9"/>
        <color indexed="8"/>
        <rFont val="Arial"/>
        <family val="2"/>
      </rPr>
      <t>sr</t>
    </r>
  </si>
  <si>
    <r>
      <t>Toplotna provodljivost pri t</t>
    </r>
    <r>
      <rPr>
        <sz val="9"/>
        <color indexed="8"/>
        <rFont val="Arial"/>
        <family val="2"/>
      </rPr>
      <t>sr</t>
    </r>
  </si>
  <si>
    <r>
      <t>Kinematski viskozitet pri t</t>
    </r>
    <r>
      <rPr>
        <sz val="9"/>
        <color indexed="8"/>
        <rFont val="Arial"/>
        <family val="2"/>
      </rPr>
      <t>zr</t>
    </r>
  </si>
  <si>
    <r>
      <t>Faktor</t>
    </r>
    <r>
      <rPr>
        <i/>
        <sz val="11"/>
        <color indexed="8"/>
        <rFont val="Arial"/>
        <family val="2"/>
      </rPr>
      <t xml:space="preserve"> K = </t>
    </r>
    <r>
      <rPr>
        <sz val="11"/>
        <color indexed="8"/>
        <rFont val="Arial"/>
        <family val="2"/>
      </rPr>
      <t>Re Pr</t>
    </r>
    <r>
      <rPr>
        <i/>
        <sz val="11"/>
        <color indexed="8"/>
        <rFont val="Arial"/>
        <family val="2"/>
      </rPr>
      <t xml:space="preserve"> d/L</t>
    </r>
  </si>
  <si>
    <r>
      <t>2300&lt; Re &lt;10</t>
    </r>
    <r>
      <rPr>
        <vertAlign val="superscript"/>
        <sz val="12"/>
        <rFont val="Arial"/>
        <family val="2"/>
      </rPr>
      <t>6</t>
    </r>
  </si>
  <si>
    <r>
      <t>Nu</t>
    </r>
    <r>
      <rPr>
        <sz val="9"/>
        <rFont val="Arial"/>
        <family val="2"/>
      </rPr>
      <t>lam</t>
    </r>
    <r>
      <rPr>
        <sz val="12"/>
        <rFont val="Arial"/>
        <family val="2"/>
      </rPr>
      <t xml:space="preserve">, </t>
    </r>
    <r>
      <rPr>
        <sz val="11"/>
        <rFont val="Arial"/>
        <family val="2"/>
      </rPr>
      <t>prema</t>
    </r>
  </si>
  <si>
    <r>
      <t>Nu</t>
    </r>
    <r>
      <rPr>
        <sz val="9"/>
        <rFont val="Arial"/>
        <family val="2"/>
      </rPr>
      <t>T</t>
    </r>
    <r>
      <rPr>
        <sz val="11"/>
        <rFont val="Arial"/>
        <family val="2"/>
      </rPr>
      <t>, prema</t>
    </r>
  </si>
  <si>
    <t>SNIP,  (4.30)                  a</t>
  </si>
  <si>
    <r>
      <t>Nu</t>
    </r>
    <r>
      <rPr>
        <i/>
        <vertAlign val="subscript"/>
        <sz val="12"/>
        <rFont val="Arial"/>
        <family val="2"/>
      </rPr>
      <t>lam</t>
    </r>
    <r>
      <rPr>
        <sz val="12"/>
        <rFont val="Arial"/>
        <family val="2"/>
      </rPr>
      <t>, (4.34)</t>
    </r>
  </si>
  <si>
    <t>Šah,  (4.17), (4.18)</t>
  </si>
  <si>
    <t>Štefan,  (4.19)</t>
  </si>
  <si>
    <t>Štefan,  (4.20)</t>
  </si>
  <si>
    <t>Unutrašnji prečnik cevi registra</t>
  </si>
  <si>
    <t>Dužina pravog dela registra</t>
  </si>
  <si>
    <t>Maks. poluprečnik savijanja</t>
  </si>
  <si>
    <t>Površina preseka registra</t>
  </si>
  <si>
    <t>Površina preseka omotača</t>
  </si>
  <si>
    <t>Ekvivalentni prečnik omotača</t>
  </si>
  <si>
    <t>REŽIM RADA RAZMENJIVAČA TOPLOTE</t>
  </si>
  <si>
    <t>FLUID U OMOTAČU</t>
  </si>
  <si>
    <t>Dužina strujnog toka registra</t>
  </si>
  <si>
    <t>Dužina strujnog toka omotača</t>
  </si>
  <si>
    <t>Debljina naslaga u omotaču</t>
  </si>
  <si>
    <t>Brzina strujanja u omotaču</t>
  </si>
  <si>
    <t>Rejnoldsov broj u omotaču</t>
  </si>
  <si>
    <t>Prantlov broj u omotaču</t>
  </si>
  <si>
    <t>Koeficijent trenja u omotaču (4.27)</t>
  </si>
  <si>
    <t>Termički i hidraulički razvij. struja</t>
  </si>
  <si>
    <t>Čerčil,  (4.33)</t>
  </si>
  <si>
    <t>NAPOMENA: Oznaka "SOS", označava vrednost polja van zadatog domena definisanosti.</t>
  </si>
  <si>
    <t>proteus.vitus@gmail.com</t>
  </si>
  <si>
    <t>rikalovic.milan@gmail.com</t>
  </si>
  <si>
    <t>vitus@verat.net</t>
  </si>
  <si>
    <t>email:</t>
  </si>
  <si>
    <t>www.vitus.co.rs</t>
  </si>
  <si>
    <t>Fontovi izvornog oblika programa mogu se preuzeti prema potrebi:</t>
  </si>
  <si>
    <t>GEOMETRIJA POPREČNOG STRUJANJA U OMOTAČU RAZMENJIVAČA TOPLOTE</t>
  </si>
  <si>
    <t>ŠAHOVSKI</t>
  </si>
  <si>
    <r>
      <t xml:space="preserve">DIMENZIONISANJE PRIKLJUČKA  ZA ULAZ i IZLAZ RADNOG FLUIDA pri </t>
    </r>
    <r>
      <rPr>
        <b/>
        <i/>
        <sz val="12"/>
        <color indexed="8"/>
        <rFont val="Arial"/>
        <family val="2"/>
      </rPr>
      <t>R</t>
    </r>
    <r>
      <rPr>
        <b/>
        <sz val="11"/>
        <color indexed="8"/>
        <rFont val="Arial"/>
        <family val="2"/>
      </rPr>
      <t>=</t>
    </r>
  </si>
  <si>
    <t>KOEFICIJENT PROLAZA TOPLOTE PRI POPREČNOM STRUJANJU U OMOTAČU</t>
  </si>
  <si>
    <t>PAD PRITISKA POPREČNO NASTRUJANOG CEVNOG SNOPA - OMOTAČ</t>
  </si>
  <si>
    <r>
      <t>Gustina fluida na t</t>
    </r>
    <r>
      <rPr>
        <sz val="9"/>
        <color indexed="8"/>
        <rFont val="Arial"/>
        <family val="2"/>
      </rPr>
      <t>sr</t>
    </r>
  </si>
  <si>
    <r>
      <t>Kin. viskoznost fluida na t</t>
    </r>
    <r>
      <rPr>
        <sz val="9"/>
        <color indexed="8"/>
        <rFont val="Arial"/>
        <family val="2"/>
      </rPr>
      <t>sr</t>
    </r>
  </si>
  <si>
    <r>
      <t xml:space="preserve">Minimalni razmak ose cevi od </t>
    </r>
    <r>
      <rPr>
        <i/>
        <sz val="11"/>
        <color indexed="8"/>
        <rFont val="Arial"/>
        <family val="2"/>
      </rPr>
      <t>D</t>
    </r>
    <r>
      <rPr>
        <i/>
        <vertAlign val="subscript"/>
        <sz val="11"/>
        <color indexed="8"/>
        <rFont val="Arial"/>
        <family val="2"/>
      </rPr>
      <t>u</t>
    </r>
  </si>
  <si>
    <t>Početni koraci od osa</t>
  </si>
  <si>
    <t>Broj poprečnih pregrada struje</t>
  </si>
  <si>
    <t>Broj parova podužnih zaptivnih traka</t>
  </si>
  <si>
    <t>Minimalno rastojanje između cevi</t>
  </si>
  <si>
    <t>Ukupna dužina strujanja u omotaču</t>
  </si>
  <si>
    <t>Unutra{nji prečnik priključka</t>
  </si>
  <si>
    <r>
      <t xml:space="preserve">Geometrijski odnos </t>
    </r>
    <r>
      <rPr>
        <i/>
        <sz val="11"/>
        <color indexed="8"/>
        <rFont val="Arial"/>
        <family val="2"/>
      </rPr>
      <t>a=hor. korak</t>
    </r>
    <r>
      <rPr>
        <sz val="11"/>
        <color indexed="8"/>
        <rFont val="Arial"/>
        <family val="2"/>
      </rPr>
      <t>/</t>
    </r>
    <r>
      <rPr>
        <i/>
        <sz val="11"/>
        <color indexed="8"/>
        <rFont val="Arial"/>
        <family val="2"/>
      </rPr>
      <t>d</t>
    </r>
    <r>
      <rPr>
        <i/>
        <vertAlign val="subscript"/>
        <sz val="11"/>
        <color indexed="8"/>
        <rFont val="Arial"/>
        <family val="2"/>
      </rPr>
      <t>s</t>
    </r>
  </si>
  <si>
    <r>
      <t xml:space="preserve">Geometrijski odnos </t>
    </r>
    <r>
      <rPr>
        <i/>
        <sz val="11"/>
        <color indexed="8"/>
        <rFont val="Arial"/>
        <family val="2"/>
      </rPr>
      <t>b=vert. korak</t>
    </r>
    <r>
      <rPr>
        <sz val="11"/>
        <color indexed="8"/>
        <rFont val="Arial"/>
        <family val="2"/>
      </rPr>
      <t>/</t>
    </r>
    <r>
      <rPr>
        <i/>
        <sz val="11"/>
        <color indexed="8"/>
        <rFont val="Arial"/>
        <family val="2"/>
      </rPr>
      <t>d</t>
    </r>
    <r>
      <rPr>
        <i/>
        <vertAlign val="subscript"/>
        <sz val="9"/>
        <color indexed="8"/>
        <rFont val="Arial"/>
        <family val="2"/>
      </rPr>
      <t>s</t>
    </r>
  </si>
  <si>
    <t>Karakteristična dužina za bezd. vel.</t>
  </si>
  <si>
    <t>Površina u osi poprečne struje</t>
  </si>
  <si>
    <r>
      <t>Brzina strujanja kroz površinu F</t>
    </r>
    <r>
      <rPr>
        <sz val="9"/>
        <color indexed="8"/>
        <rFont val="Arial"/>
        <family val="2"/>
      </rPr>
      <t>p</t>
    </r>
  </si>
  <si>
    <t>Rejnoldsov broj poprečne struje</t>
  </si>
  <si>
    <t>Faktor razmeštaja cevnog snopa</t>
  </si>
  <si>
    <t>Korekcija uzdužnog strujanja</t>
  </si>
  <si>
    <t>Korekcija lekažnog strujanja, A i E</t>
  </si>
  <si>
    <r>
      <t xml:space="preserve">Brzina u najmanjem preseku </t>
    </r>
    <r>
      <rPr>
        <i/>
        <sz val="12"/>
        <color indexed="8"/>
        <rFont val="Arial"/>
        <family val="2"/>
      </rPr>
      <t>F</t>
    </r>
    <r>
      <rPr>
        <i/>
        <vertAlign val="subscript"/>
        <sz val="12"/>
        <color indexed="8"/>
        <rFont val="Arial"/>
        <family val="2"/>
      </rPr>
      <t>K</t>
    </r>
  </si>
  <si>
    <r>
      <t>Rejnoldsov broj okna Re</t>
    </r>
    <r>
      <rPr>
        <vertAlign val="subscript"/>
        <sz val="11"/>
        <color indexed="8"/>
        <rFont val="Arial"/>
        <family val="2"/>
      </rPr>
      <t>1</t>
    </r>
  </si>
  <si>
    <r>
      <t>Rejnoldsov broj okna Re</t>
    </r>
    <r>
      <rPr>
        <vertAlign val="subscript"/>
        <sz val="11"/>
        <color indexed="8"/>
        <rFont val="Arial"/>
        <family val="2"/>
      </rPr>
      <t>2</t>
    </r>
  </si>
  <si>
    <t>STRUJANJE U MEĐUZONI (IZMEĐU DVA OKNA)</t>
  </si>
  <si>
    <t>Površina preseka između cevi okna</t>
  </si>
  <si>
    <t>Površina dijagonalno između cevi</t>
  </si>
  <si>
    <r>
      <t>Manja površina od</t>
    </r>
    <r>
      <rPr>
        <i/>
        <sz val="12"/>
        <color indexed="8"/>
        <rFont val="Arial"/>
        <family val="2"/>
      </rPr>
      <t xml:space="preserve"> F</t>
    </r>
    <r>
      <rPr>
        <i/>
        <vertAlign val="subscript"/>
        <sz val="12"/>
        <color indexed="8"/>
        <rFont val="Arial"/>
        <family val="2"/>
      </rPr>
      <t>M</t>
    </r>
    <r>
      <rPr>
        <vertAlign val="subscript"/>
        <sz val="12"/>
        <color indexed="8"/>
        <rFont val="Arial"/>
        <family val="2"/>
      </rPr>
      <t>1</t>
    </r>
    <r>
      <rPr>
        <sz val="11"/>
        <color indexed="8"/>
        <rFont val="Arial"/>
        <family val="2"/>
      </rPr>
      <t xml:space="preserve"> i </t>
    </r>
    <r>
      <rPr>
        <i/>
        <sz val="12"/>
        <color indexed="8"/>
        <rFont val="Arial"/>
        <family val="2"/>
      </rPr>
      <t>F</t>
    </r>
    <r>
      <rPr>
        <i/>
        <vertAlign val="subscript"/>
        <sz val="12"/>
        <color indexed="8"/>
        <rFont val="Arial"/>
        <family val="2"/>
      </rPr>
      <t>M</t>
    </r>
    <r>
      <rPr>
        <vertAlign val="subscript"/>
        <sz val="12"/>
        <color indexed="8"/>
        <rFont val="Arial"/>
        <family val="2"/>
      </rPr>
      <t>2</t>
    </r>
  </si>
  <si>
    <t>Rejnoldsov broj u međuzoni</t>
  </si>
  <si>
    <t>Površ. pres.između cevi, krajnja zona</t>
  </si>
  <si>
    <r>
      <t>Manja površina od</t>
    </r>
    <r>
      <rPr>
        <i/>
        <sz val="12"/>
        <color indexed="8"/>
        <rFont val="Arial"/>
        <family val="2"/>
      </rPr>
      <t xml:space="preserve"> F</t>
    </r>
    <r>
      <rPr>
        <i/>
        <vertAlign val="subscript"/>
        <sz val="12"/>
        <color indexed="8"/>
        <rFont val="Arial"/>
        <family val="2"/>
      </rPr>
      <t>K</t>
    </r>
    <r>
      <rPr>
        <vertAlign val="subscript"/>
        <sz val="12"/>
        <color indexed="8"/>
        <rFont val="Arial"/>
        <family val="2"/>
      </rPr>
      <t>1</t>
    </r>
    <r>
      <rPr>
        <sz val="11"/>
        <color indexed="8"/>
        <rFont val="Arial"/>
        <family val="2"/>
      </rPr>
      <t xml:space="preserve"> i </t>
    </r>
    <r>
      <rPr>
        <i/>
        <sz val="12"/>
        <color indexed="8"/>
        <rFont val="Arial"/>
        <family val="2"/>
      </rPr>
      <t>F</t>
    </r>
    <r>
      <rPr>
        <i/>
        <vertAlign val="subscript"/>
        <sz val="12"/>
        <color indexed="8"/>
        <rFont val="Arial"/>
        <family val="2"/>
      </rPr>
      <t>K</t>
    </r>
    <r>
      <rPr>
        <vertAlign val="subscript"/>
        <sz val="12"/>
        <color indexed="8"/>
        <rFont val="Arial"/>
        <family val="2"/>
      </rPr>
      <t>2</t>
    </r>
  </si>
  <si>
    <t>STRUJANJE U UZDUŽNO-ZAKRETNOJ ZONI (OKNO)</t>
  </si>
  <si>
    <t>Srednja površina strujanja u oknu</t>
  </si>
  <si>
    <t>Brzina uzdužnog strujanja u oknu</t>
  </si>
  <si>
    <t>PAD PRITISKA POPREČNO NASTRUJANOG SNOPA</t>
  </si>
  <si>
    <t xml:space="preserve">Kor. faktor obilazne struje međuzone </t>
  </si>
  <si>
    <t>Koeficijent otpora poprečne struje</t>
  </si>
  <si>
    <t>Kor. faktor lekažnog strujanja</t>
  </si>
  <si>
    <t>Pad pritiska fluida u međuzoni</t>
  </si>
  <si>
    <t>Koeficijent otpora uzdužne struje okna</t>
  </si>
  <si>
    <t>Pad pritiska uzdužne zone okna</t>
  </si>
  <si>
    <t>UKUPNI PAD PRITISKA POPREČNO</t>
  </si>
  <si>
    <r>
      <t>Spec. toplotni kap. na</t>
    </r>
    <r>
      <rPr>
        <i/>
        <sz val="12"/>
        <color indexed="8"/>
        <rFont val="Arial"/>
        <family val="2"/>
      </rPr>
      <t xml:space="preserve"> t</t>
    </r>
    <r>
      <rPr>
        <i/>
        <vertAlign val="subscript"/>
        <sz val="12"/>
        <color indexed="8"/>
        <rFont val="Arial"/>
        <family val="2"/>
      </rPr>
      <t>sr</t>
    </r>
  </si>
  <si>
    <r>
      <t xml:space="preserve">Topl. provodljivost na </t>
    </r>
    <r>
      <rPr>
        <i/>
        <sz val="12"/>
        <color indexed="8"/>
        <rFont val="Arial"/>
        <family val="2"/>
      </rPr>
      <t>t</t>
    </r>
    <r>
      <rPr>
        <i/>
        <vertAlign val="subscript"/>
        <sz val="12"/>
        <color indexed="8"/>
        <rFont val="Arial"/>
        <family val="2"/>
      </rPr>
      <t>sr</t>
    </r>
  </si>
  <si>
    <t>Odnos dinamičkih viskoz.</t>
  </si>
  <si>
    <t>Ekvivalentni prečnik okna</t>
  </si>
  <si>
    <r>
      <t xml:space="preserve">Dvostruki zazor izme|u </t>
    </r>
    <r>
      <rPr>
        <i/>
        <sz val="11"/>
        <color indexed="8"/>
        <rFont val="Arial"/>
        <family val="2"/>
      </rPr>
      <t>D</t>
    </r>
    <r>
      <rPr>
        <i/>
        <vertAlign val="subscript"/>
        <sz val="11"/>
        <color indexed="8"/>
        <rFont val="Arial"/>
        <family val="2"/>
      </rPr>
      <t>u</t>
    </r>
    <r>
      <rPr>
        <sz val="11"/>
        <color indexed="8"/>
        <rFont val="Arial"/>
        <family val="2"/>
      </rPr>
      <t xml:space="preserve"> i </t>
    </r>
    <r>
      <rPr>
        <i/>
        <sz val="11"/>
        <color indexed="8"/>
        <rFont val="Arial"/>
        <family val="2"/>
      </rPr>
      <t>D</t>
    </r>
    <r>
      <rPr>
        <i/>
        <vertAlign val="subscript"/>
        <sz val="11"/>
        <color indexed="8"/>
        <rFont val="Arial"/>
        <family val="2"/>
      </rPr>
      <t>cs</t>
    </r>
  </si>
  <si>
    <t>Broj poprečno nastruj. redova u oknu</t>
  </si>
  <si>
    <t>Računski broj popr. nastruj. redova</t>
  </si>
  <si>
    <t>Rastojanje između pregrada</t>
  </si>
  <si>
    <t>Rast. izmeđe ploče i prve/zadnje pr.</t>
  </si>
  <si>
    <t xml:space="preserve">Broj popr nastr. redova međuzone </t>
  </si>
  <si>
    <t>Dvostruki zazor između otvora i cevi</t>
  </si>
  <si>
    <r>
      <t xml:space="preserve">Dvostruki zazor između </t>
    </r>
    <r>
      <rPr>
        <i/>
        <sz val="11"/>
        <color indexed="8"/>
        <rFont val="Arial"/>
        <family val="2"/>
      </rPr>
      <t>D</t>
    </r>
    <r>
      <rPr>
        <i/>
        <vertAlign val="subscript"/>
        <sz val="11"/>
        <color indexed="8"/>
        <rFont val="Arial"/>
        <family val="2"/>
      </rPr>
      <t>u</t>
    </r>
    <r>
      <rPr>
        <sz val="11"/>
        <color indexed="8"/>
        <rFont val="Arial"/>
        <family val="2"/>
      </rPr>
      <t xml:space="preserve"> i pregrade</t>
    </r>
  </si>
  <si>
    <t>Ugao okna po preseku cevne ploče</t>
  </si>
  <si>
    <r>
      <t xml:space="preserve">Površ. zazora </t>
    </r>
    <r>
      <rPr>
        <i/>
        <sz val="11"/>
        <color indexed="8"/>
        <rFont val="Arial"/>
        <family val="2"/>
      </rPr>
      <t>D</t>
    </r>
    <r>
      <rPr>
        <i/>
        <vertAlign val="subscript"/>
        <sz val="11"/>
        <color indexed="8"/>
        <rFont val="Arial"/>
        <family val="2"/>
      </rPr>
      <t>u</t>
    </r>
    <r>
      <rPr>
        <sz val="11"/>
        <color indexed="8"/>
        <rFont val="Arial"/>
        <family val="2"/>
      </rPr>
      <t xml:space="preserve"> i pregr. okna m</t>
    </r>
    <r>
      <rPr>
        <sz val="9"/>
        <color indexed="8"/>
        <rFont val="Arial"/>
        <family val="2"/>
      </rPr>
      <t>eo</t>
    </r>
  </si>
  <si>
    <t>Površ. zazora oko cevi u pregradi</t>
  </si>
  <si>
    <t>Površ. obilazne struje C i F</t>
  </si>
  <si>
    <t>Povš. preseka omotača u oknu</t>
  </si>
  <si>
    <t>Brzina u priključku</t>
  </si>
  <si>
    <t>Računski Rejnoldsov broj</t>
  </si>
  <si>
    <t>Nazivni prečnik priključka</t>
  </si>
  <si>
    <t>Dužina tetive reda najbližeg osi</t>
  </si>
  <si>
    <r>
      <t xml:space="preserve">Površina između cevi tetive </t>
    </r>
    <r>
      <rPr>
        <i/>
        <sz val="12"/>
        <color indexed="8"/>
        <rFont val="Arial"/>
        <family val="2"/>
      </rPr>
      <t>x</t>
    </r>
    <r>
      <rPr>
        <i/>
        <vertAlign val="subscript"/>
        <sz val="12"/>
        <color indexed="8"/>
        <rFont val="Arial"/>
        <family val="2"/>
      </rPr>
      <t>t</t>
    </r>
  </si>
  <si>
    <r>
      <t>Brzina strujanja kroz površinu</t>
    </r>
    <r>
      <rPr>
        <i/>
        <sz val="12"/>
        <color indexed="8"/>
        <rFont val="Arial"/>
        <family val="2"/>
      </rPr>
      <t xml:space="preserve"> F</t>
    </r>
    <r>
      <rPr>
        <i/>
        <vertAlign val="subscript"/>
        <sz val="12"/>
        <color indexed="8"/>
        <rFont val="Arial"/>
        <family val="2"/>
      </rPr>
      <t>t</t>
    </r>
  </si>
  <si>
    <t>Ukupan broj poprečno nastrujanih cevi</t>
  </si>
  <si>
    <t>Korekcija podužnog strujanja okna</t>
  </si>
  <si>
    <t>Korekcija strujanja A i E lekažno</t>
  </si>
  <si>
    <t>Korekcioni faktor obilazne struje C i F</t>
  </si>
  <si>
    <t>Pomoćni koeficijent otpora struje</t>
  </si>
  <si>
    <t>Korekcioni faktor lekažne struje A i E</t>
  </si>
  <si>
    <t>Pad pritiska poprečno nastr. snopa</t>
  </si>
  <si>
    <t>Koeficijent otpora okna idealne struje</t>
  </si>
  <si>
    <t>KONFIGURACIJA  STRUJANJA  U  RAZMENJIVAČU  TOPLOTE</t>
  </si>
  <si>
    <t>VELIČINA</t>
  </si>
  <si>
    <t>A.  ZADATE  VELIČINE</t>
  </si>
  <si>
    <t>Linearna aproksimacija specifičnog toplotnog kapaciteta</t>
  </si>
  <si>
    <r>
      <t>Konfig. [</t>
    </r>
    <r>
      <rPr>
        <i/>
        <sz val="12"/>
        <rFont val="Times New Roman"/>
        <family val="1"/>
      </rPr>
      <t>a</t>
    </r>
    <r>
      <rPr>
        <sz val="12"/>
        <rFont val="Arial"/>
        <family val="2"/>
      </rPr>
      <t>]</t>
    </r>
  </si>
  <si>
    <t>B.  IZRAČUNATE  VELIČINE</t>
  </si>
  <si>
    <r>
      <t xml:space="preserve">Proizvod </t>
    </r>
    <r>
      <rPr>
        <i/>
        <sz val="12"/>
        <color indexed="16"/>
        <rFont val="Arial"/>
        <family val="2"/>
      </rPr>
      <t>kA</t>
    </r>
  </si>
  <si>
    <r>
      <t xml:space="preserve">Ulazne temperature primara i sekundara </t>
    </r>
    <r>
      <rPr>
        <i/>
        <sz val="12"/>
        <color indexed="16"/>
        <rFont val="Arial"/>
        <family val="2"/>
      </rPr>
      <t>tp'</t>
    </r>
    <r>
      <rPr>
        <sz val="11"/>
        <color indexed="16"/>
        <rFont val="Arial"/>
        <family val="2"/>
      </rPr>
      <t xml:space="preserve"> i</t>
    </r>
    <r>
      <rPr>
        <i/>
        <sz val="12"/>
        <color indexed="16"/>
        <rFont val="Arial"/>
        <family val="2"/>
      </rPr>
      <t xml:space="preserve"> ts'</t>
    </r>
  </si>
  <si>
    <r>
      <t>Maseni protoci primara i sekundara</t>
    </r>
    <r>
      <rPr>
        <i/>
        <sz val="12"/>
        <color indexed="16"/>
        <rFont val="Arial"/>
        <family val="2"/>
      </rPr>
      <t xml:space="preserve"> mp</t>
    </r>
    <r>
      <rPr>
        <sz val="11"/>
        <color indexed="16"/>
        <rFont val="Arial"/>
        <family val="2"/>
      </rPr>
      <t xml:space="preserve"> i </t>
    </r>
    <r>
      <rPr>
        <i/>
        <sz val="12"/>
        <color indexed="16"/>
        <rFont val="Arial"/>
        <family val="2"/>
      </rPr>
      <t>ms</t>
    </r>
  </si>
  <si>
    <r>
      <t xml:space="preserve">Izlazna temperatura primara </t>
    </r>
    <r>
      <rPr>
        <i/>
        <sz val="12"/>
        <color indexed="16"/>
        <rFont val="Arial"/>
        <family val="2"/>
      </rPr>
      <t>tp"</t>
    </r>
  </si>
  <si>
    <r>
      <t xml:space="preserve">Izlazna temperatura sekundara </t>
    </r>
    <r>
      <rPr>
        <i/>
        <sz val="12"/>
        <color indexed="16"/>
        <rFont val="Arial"/>
        <family val="2"/>
      </rPr>
      <t>ts"</t>
    </r>
  </si>
  <si>
    <t>POSTUPAK  RATING  PRORAČUNA  RAZMENJIVAČA  TOPLOTE</t>
  </si>
  <si>
    <r>
      <t xml:space="preserve">Specifični toplotni kapacitet za srednje temperature </t>
    </r>
    <r>
      <rPr>
        <i/>
        <sz val="12"/>
        <color indexed="16"/>
        <rFont val="Arial"/>
        <family val="2"/>
      </rPr>
      <t>cp</t>
    </r>
    <r>
      <rPr>
        <sz val="11"/>
        <color indexed="16"/>
        <rFont val="Arial"/>
        <family val="2"/>
      </rPr>
      <t xml:space="preserve"> i </t>
    </r>
    <r>
      <rPr>
        <i/>
        <sz val="12"/>
        <color indexed="16"/>
        <rFont val="Arial"/>
        <family val="2"/>
      </rPr>
      <t>cs</t>
    </r>
  </si>
  <si>
    <t>(Zadata ili linearna aproksimacija međuvrednosti)</t>
  </si>
  <si>
    <t>(preko bil. primara i sekundara, jednač. razmene)</t>
  </si>
  <si>
    <r>
      <t xml:space="preserve">Ulazne temperature primara i sekundara </t>
    </r>
    <r>
      <rPr>
        <i/>
        <sz val="12"/>
        <color indexed="16"/>
        <rFont val="Arial"/>
        <family val="2"/>
      </rPr>
      <t>t</t>
    </r>
    <r>
      <rPr>
        <i/>
        <vertAlign val="subscript"/>
        <sz val="12"/>
        <color indexed="16"/>
        <rFont val="Arial"/>
        <family val="2"/>
      </rPr>
      <t>p</t>
    </r>
    <r>
      <rPr>
        <i/>
        <sz val="12"/>
        <color indexed="16"/>
        <rFont val="Arial"/>
        <family val="2"/>
      </rPr>
      <t>'</t>
    </r>
    <r>
      <rPr>
        <sz val="11"/>
        <color indexed="16"/>
        <rFont val="Arial"/>
        <family val="2"/>
      </rPr>
      <t xml:space="preserve"> i</t>
    </r>
    <r>
      <rPr>
        <i/>
        <sz val="12"/>
        <color indexed="16"/>
        <rFont val="Arial"/>
        <family val="2"/>
      </rPr>
      <t xml:space="preserve"> t</t>
    </r>
    <r>
      <rPr>
        <i/>
        <vertAlign val="subscript"/>
        <sz val="12"/>
        <color indexed="16"/>
        <rFont val="Arial"/>
        <family val="2"/>
      </rPr>
      <t>s</t>
    </r>
    <r>
      <rPr>
        <i/>
        <sz val="12"/>
        <color indexed="16"/>
        <rFont val="Arial"/>
        <family val="2"/>
      </rPr>
      <t>'</t>
    </r>
  </si>
  <si>
    <r>
      <t>Izlazna temperatura primara ili sekundara</t>
    </r>
    <r>
      <rPr>
        <i/>
        <sz val="12"/>
        <color indexed="16"/>
        <rFont val="Arial"/>
        <family val="2"/>
      </rPr>
      <t xml:space="preserve"> t</t>
    </r>
    <r>
      <rPr>
        <i/>
        <vertAlign val="subscript"/>
        <sz val="12"/>
        <color indexed="16"/>
        <rFont val="Arial"/>
        <family val="2"/>
      </rPr>
      <t>p</t>
    </r>
    <r>
      <rPr>
        <i/>
        <sz val="12"/>
        <color indexed="16"/>
        <rFont val="Arial"/>
        <family val="2"/>
      </rPr>
      <t>"</t>
    </r>
    <r>
      <rPr>
        <sz val="11"/>
        <color indexed="16"/>
        <rFont val="Arial"/>
        <family val="2"/>
      </rPr>
      <t xml:space="preserve"> ili </t>
    </r>
    <r>
      <rPr>
        <i/>
        <sz val="12"/>
        <color indexed="16"/>
        <rFont val="Arial"/>
        <family val="2"/>
      </rPr>
      <t>t</t>
    </r>
    <r>
      <rPr>
        <i/>
        <vertAlign val="subscript"/>
        <sz val="12"/>
        <color indexed="16"/>
        <rFont val="Arial"/>
        <family val="2"/>
      </rPr>
      <t>s</t>
    </r>
    <r>
      <rPr>
        <i/>
        <sz val="12"/>
        <color indexed="16"/>
        <rFont val="Arial"/>
        <family val="2"/>
      </rPr>
      <t>"</t>
    </r>
  </si>
  <si>
    <r>
      <t>Maseni protoci primara i sekundara</t>
    </r>
    <r>
      <rPr>
        <i/>
        <sz val="12"/>
        <color indexed="16"/>
        <rFont val="Arial"/>
        <family val="2"/>
      </rPr>
      <t xml:space="preserve"> m</t>
    </r>
    <r>
      <rPr>
        <i/>
        <vertAlign val="subscript"/>
        <sz val="12"/>
        <color indexed="16"/>
        <rFont val="Arial"/>
        <family val="2"/>
      </rPr>
      <t>p</t>
    </r>
    <r>
      <rPr>
        <sz val="11"/>
        <color indexed="16"/>
        <rFont val="Arial"/>
        <family val="2"/>
      </rPr>
      <t xml:space="preserve"> i </t>
    </r>
    <r>
      <rPr>
        <i/>
        <sz val="12"/>
        <color indexed="16"/>
        <rFont val="Arial"/>
        <family val="2"/>
      </rPr>
      <t>m</t>
    </r>
    <r>
      <rPr>
        <i/>
        <vertAlign val="subscript"/>
        <sz val="12"/>
        <color indexed="16"/>
        <rFont val="Arial"/>
        <family val="2"/>
      </rPr>
      <t>s</t>
    </r>
  </si>
  <si>
    <r>
      <t xml:space="preserve">Nepoznata izlazna temperatura </t>
    </r>
    <r>
      <rPr>
        <i/>
        <sz val="12"/>
        <color indexed="16"/>
        <rFont val="Arial"/>
        <family val="2"/>
      </rPr>
      <t>t</t>
    </r>
    <r>
      <rPr>
        <i/>
        <vertAlign val="subscript"/>
        <sz val="12"/>
        <color indexed="16"/>
        <rFont val="Arial"/>
        <family val="2"/>
      </rPr>
      <t>p</t>
    </r>
    <r>
      <rPr>
        <i/>
        <sz val="12"/>
        <color indexed="16"/>
        <rFont val="Arial"/>
        <family val="2"/>
      </rPr>
      <t>"</t>
    </r>
    <r>
      <rPr>
        <sz val="11"/>
        <color indexed="16"/>
        <rFont val="Arial"/>
        <family val="2"/>
      </rPr>
      <t xml:space="preserve"> ili </t>
    </r>
    <r>
      <rPr>
        <i/>
        <sz val="12"/>
        <color indexed="16"/>
        <rFont val="Arial"/>
        <family val="2"/>
      </rPr>
      <t>t</t>
    </r>
    <r>
      <rPr>
        <i/>
        <vertAlign val="subscript"/>
        <sz val="12"/>
        <color indexed="16"/>
        <rFont val="Arial"/>
        <family val="2"/>
      </rPr>
      <t>s</t>
    </r>
    <r>
      <rPr>
        <i/>
        <sz val="12"/>
        <color indexed="16"/>
        <rFont val="Arial"/>
        <family val="2"/>
      </rPr>
      <t>"</t>
    </r>
  </si>
  <si>
    <t>POSTUPAK  DESIGN  PRORAČUNA  RAZMENJIVAČA  TOPLOTE</t>
  </si>
  <si>
    <r>
      <t xml:space="preserve">Specifični toplotni kapacitet za srednje temperature </t>
    </r>
    <r>
      <rPr>
        <i/>
        <sz val="12"/>
        <color indexed="16"/>
        <rFont val="Arial"/>
        <family val="2"/>
      </rPr>
      <t>c</t>
    </r>
    <r>
      <rPr>
        <i/>
        <vertAlign val="subscript"/>
        <sz val="12"/>
        <color indexed="16"/>
        <rFont val="Arial"/>
        <family val="2"/>
      </rPr>
      <t>p</t>
    </r>
    <r>
      <rPr>
        <sz val="11"/>
        <color indexed="16"/>
        <rFont val="Arial"/>
        <family val="2"/>
      </rPr>
      <t xml:space="preserve"> i </t>
    </r>
    <r>
      <rPr>
        <i/>
        <sz val="12"/>
        <color indexed="16"/>
        <rFont val="Arial"/>
        <family val="2"/>
      </rPr>
      <t>c</t>
    </r>
    <r>
      <rPr>
        <i/>
        <vertAlign val="subscript"/>
        <sz val="12"/>
        <color indexed="16"/>
        <rFont val="Arial"/>
        <family val="2"/>
      </rPr>
      <t>s</t>
    </r>
  </si>
  <si>
    <t>B.  KONTROLNE  VELIČINE</t>
  </si>
  <si>
    <r>
      <t>rač.</t>
    </r>
    <r>
      <rPr>
        <i/>
        <sz val="11"/>
        <rFont val="Times New Roman"/>
        <family val="1"/>
      </rPr>
      <t xml:space="preserve"> t</t>
    </r>
    <r>
      <rPr>
        <i/>
        <vertAlign val="subscript"/>
        <sz val="11"/>
        <rFont val="Times New Roman"/>
        <family val="1"/>
      </rPr>
      <t>p</t>
    </r>
    <r>
      <rPr>
        <i/>
        <sz val="11"/>
        <rFont val="Times New Roman"/>
        <family val="1"/>
      </rPr>
      <t>''</t>
    </r>
    <r>
      <rPr>
        <sz val="11"/>
        <rFont val="Times New Roman"/>
        <family val="1"/>
      </rPr>
      <t>[</t>
    </r>
    <r>
      <rPr>
        <vertAlign val="superscript"/>
        <sz val="11"/>
        <rFont val="Times New Roman"/>
        <family val="1"/>
      </rPr>
      <t>o</t>
    </r>
    <r>
      <rPr>
        <sz val="11"/>
        <rFont val="Times New Roman"/>
        <family val="1"/>
      </rPr>
      <t>C]</t>
    </r>
  </si>
  <si>
    <r>
      <t>pred.</t>
    </r>
    <r>
      <rPr>
        <i/>
        <sz val="11"/>
        <rFont val="Times New Roman"/>
        <family val="1"/>
      </rPr>
      <t xml:space="preserve"> t</t>
    </r>
    <r>
      <rPr>
        <i/>
        <vertAlign val="subscript"/>
        <sz val="11"/>
        <rFont val="Times New Roman"/>
        <family val="1"/>
      </rPr>
      <t>p</t>
    </r>
    <r>
      <rPr>
        <i/>
        <sz val="11"/>
        <rFont val="Times New Roman"/>
        <family val="1"/>
      </rPr>
      <t>''</t>
    </r>
    <r>
      <rPr>
        <sz val="11"/>
        <rFont val="Times New Roman"/>
        <family val="1"/>
      </rPr>
      <t>[</t>
    </r>
    <r>
      <rPr>
        <vertAlign val="superscript"/>
        <sz val="11"/>
        <rFont val="Times New Roman"/>
        <family val="1"/>
      </rPr>
      <t>o</t>
    </r>
    <r>
      <rPr>
        <sz val="11"/>
        <rFont val="Times New Roman"/>
        <family val="1"/>
      </rPr>
      <t>C]</t>
    </r>
  </si>
  <si>
    <t>C.  PRORAČUNI</t>
  </si>
  <si>
    <r>
      <t xml:space="preserve">SNAGE ZONE HK, MORA SE POVEĆATI  </t>
    </r>
    <r>
      <rPr>
        <i/>
        <sz val="12"/>
        <color indexed="10"/>
        <rFont val="Arial"/>
        <family val="2"/>
      </rPr>
      <t>"kA"</t>
    </r>
  </si>
  <si>
    <t xml:space="preserve">ODZIV SISTEMA ZAVISI OD REŽIMA RADA RT I </t>
  </si>
  <si>
    <t xml:space="preserve">ZADATE GEOMETRIJSKE VELIČINE </t>
  </si>
  <si>
    <t>PAD PRITISKA U RAZMENJIVAČU TOPLOTE</t>
  </si>
  <si>
    <t>POPREČNO STRUJANJE U OMOTAČU</t>
  </si>
  <si>
    <t>UZDUŽNO STRUJANJE U ili OKO REGISTRA</t>
  </si>
  <si>
    <t>NAZIV GEOMETRIJSKE VELIČINE</t>
  </si>
  <si>
    <t>Spolja0nji prečnik cevi</t>
  </si>
  <si>
    <t>OMOTAČ</t>
  </si>
  <si>
    <t>UZDUŽNO</t>
  </si>
  <si>
    <t>DIMENZIONISANJE PRIKLJUČKA RAZMENJIVAČA</t>
  </si>
  <si>
    <t>Brzina podužnog strujanja fluida</t>
  </si>
  <si>
    <t>Rejnoldsov broj podužne struje</t>
  </si>
  <si>
    <t>Dužina zaletne staze</t>
  </si>
  <si>
    <t>Bezdimenziona značica zaletne staze</t>
  </si>
  <si>
    <t>Preostala dužina strujanja fluida</t>
  </si>
  <si>
    <t>Pad pritiska fluida u registru-omotaču</t>
  </si>
  <si>
    <t>UKUPNI PAD PRITISKA UZDUŽNO</t>
  </si>
  <si>
    <t xml:space="preserve">IZVEDENE GEOMETRIJSKE VELIČINE </t>
  </si>
  <si>
    <t>Unutrašnji prečnik priključka</t>
  </si>
  <si>
    <t>PAD PRITISKA U PRIKLJUČCIMA</t>
  </si>
  <si>
    <t>Za poprećno strujanje u omotaču uspostavlja se veza sa podacima - radni list POPREČNO</t>
  </si>
  <si>
    <t>Koef. uveć.</t>
  </si>
  <si>
    <t>Spoljnja i unutrašnja projektna temperatura</t>
  </si>
  <si>
    <t>Specifični toplotni kapacitet</t>
  </si>
  <si>
    <t>Termička karakteristika grejnih tela</t>
  </si>
  <si>
    <t>Računski temperaturni faktor</t>
  </si>
  <si>
    <t>Temperaturni faktor</t>
  </si>
  <si>
    <t>Efektivna temperaturna razlika</t>
  </si>
  <si>
    <t>USVOJENI PODACI PRI KONTROLNOM REŽIMU</t>
  </si>
  <si>
    <t xml:space="preserve">       Klizni režim PRIMARA</t>
  </si>
  <si>
    <t xml:space="preserve">       Klizni režim SEKUNDARA</t>
  </si>
  <si>
    <r>
      <t>d</t>
    </r>
    <r>
      <rPr>
        <i/>
        <vertAlign val="subscript"/>
        <sz val="11"/>
        <rFont val="Arial"/>
        <family val="2"/>
      </rPr>
      <t>s</t>
    </r>
    <r>
      <rPr>
        <sz val="11"/>
        <rFont val="Arial"/>
        <family val="2"/>
      </rPr>
      <t>/</t>
    </r>
    <r>
      <rPr>
        <i/>
        <sz val="11"/>
        <rFont val="Arial"/>
        <family val="2"/>
      </rPr>
      <t>d</t>
    </r>
    <r>
      <rPr>
        <i/>
        <vertAlign val="subscript"/>
        <sz val="11"/>
        <rFont val="Arial"/>
        <family val="2"/>
      </rPr>
      <t>u</t>
    </r>
    <r>
      <rPr>
        <sz val="11"/>
        <rFont val="Arial"/>
        <family val="2"/>
      </rPr>
      <t xml:space="preserve"> [mm]</t>
    </r>
  </si>
  <si>
    <t>Spoljni prečnik razmenjivača toplote</t>
  </si>
  <si>
    <t>ZADATI PRORAČUNSKI PODACI</t>
  </si>
  <si>
    <t>Unutrašnji prečnik otvora na dancu</t>
  </si>
  <si>
    <t>Stepen ispupčenja danca</t>
  </si>
  <si>
    <t>Proračunska temperatura</t>
  </si>
  <si>
    <t>Proračunski pritisak</t>
  </si>
  <si>
    <t>Proračunska čvrstoća</t>
  </si>
  <si>
    <t>Č 1204</t>
  </si>
  <si>
    <t>Č 1205</t>
  </si>
  <si>
    <t>Č 1206</t>
  </si>
  <si>
    <t>TORISFERIČNO</t>
  </si>
  <si>
    <t>Modul elastičnosti</t>
  </si>
  <si>
    <t>Izračunata debljina</t>
  </si>
  <si>
    <t>Proračunski koeficijent</t>
  </si>
  <si>
    <t>Proračunski prečnik</t>
  </si>
  <si>
    <t>Č 0361</t>
  </si>
  <si>
    <t>Č 0561</t>
  </si>
  <si>
    <t>Materijal omotača</t>
  </si>
  <si>
    <t>OMOTAČ NIŽEG PRITISKA</t>
  </si>
  <si>
    <t>PRORAČUN OMOTAČA  SRPS M.E2.253</t>
  </si>
  <si>
    <t>OMOTAČ VIŠEG PRITISKA</t>
  </si>
  <si>
    <t>C.    CEVNA  PLOČA SRPS SRPS.E2.259</t>
  </si>
  <si>
    <r>
      <t>t</t>
    </r>
    <r>
      <rPr>
        <i/>
        <vertAlign val="subscript"/>
        <sz val="12"/>
        <rFont val="Arial"/>
        <family val="2"/>
      </rPr>
      <t>pr</t>
    </r>
    <r>
      <rPr>
        <i/>
        <sz val="12"/>
        <rFont val="Arial"/>
        <family val="2"/>
      </rPr>
      <t xml:space="preserve"> </t>
    </r>
    <r>
      <rPr>
        <sz val="12"/>
        <rFont val="Arial"/>
        <family val="2"/>
      </rPr>
      <t>[</t>
    </r>
    <r>
      <rPr>
        <vertAlign val="superscript"/>
        <sz val="12"/>
        <rFont val="Arial"/>
        <family val="2"/>
      </rPr>
      <t>o</t>
    </r>
    <r>
      <rPr>
        <sz val="12"/>
        <rFont val="Arial"/>
        <family val="2"/>
      </rPr>
      <t>C]</t>
    </r>
  </si>
  <si>
    <r>
      <t>p</t>
    </r>
    <r>
      <rPr>
        <i/>
        <vertAlign val="subscript"/>
        <sz val="12"/>
        <color indexed="8"/>
        <rFont val="Arial"/>
        <family val="2"/>
      </rPr>
      <t>pr</t>
    </r>
    <r>
      <rPr>
        <sz val="11"/>
        <color indexed="8"/>
        <rFont val="Arial"/>
        <family val="2"/>
      </rPr>
      <t xml:space="preserve"> [bar]</t>
    </r>
  </si>
  <si>
    <r>
      <t>S</t>
    </r>
    <r>
      <rPr>
        <sz val="10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>[-]</t>
    </r>
  </si>
  <si>
    <r>
      <t>c</t>
    </r>
    <r>
      <rPr>
        <vertAlign val="subscript"/>
        <sz val="11"/>
        <color indexed="8"/>
        <rFont val="Arial"/>
        <family val="2"/>
      </rPr>
      <t>1</t>
    </r>
    <r>
      <rPr>
        <sz val="11"/>
        <color indexed="8"/>
        <rFont val="Arial"/>
        <family val="2"/>
      </rPr>
      <t xml:space="preserve"> [mm]</t>
    </r>
  </si>
  <si>
    <r>
      <t>c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 xml:space="preserve"> [mm]</t>
    </r>
  </si>
  <si>
    <r>
      <t>s</t>
    </r>
    <r>
      <rPr>
        <sz val="11"/>
        <color indexed="8"/>
        <rFont val="Arial"/>
        <family val="2"/>
      </rPr>
      <t xml:space="preserve"> [mm]</t>
    </r>
  </si>
  <si>
    <r>
      <t>s</t>
    </r>
    <r>
      <rPr>
        <i/>
        <vertAlign val="subscript"/>
        <sz val="11"/>
        <color indexed="8"/>
        <rFont val="Arial"/>
        <family val="2"/>
      </rPr>
      <t>e</t>
    </r>
    <r>
      <rPr>
        <sz val="11"/>
        <color indexed="8"/>
        <rFont val="Arial"/>
        <family val="2"/>
      </rPr>
      <t xml:space="preserve"> [mm]</t>
    </r>
  </si>
  <si>
    <t>PRORAČUN VIJČANOG SPOJA SRPS M.E2.257</t>
  </si>
  <si>
    <t>PRORAČUN DANCA  SRPS M.E2.252, M.E2.253 i SRPS M.E2.259</t>
  </si>
  <si>
    <t>Na strani višeg pritiska</t>
  </si>
  <si>
    <t>Na strani nižeg pritiska</t>
  </si>
  <si>
    <t>Oterećenje vijčanog spoja</t>
  </si>
  <si>
    <t>Maksimalni pritisak, širina i debljina</t>
  </si>
  <si>
    <t>Zaptivač - bezazbestni KLINGERIT</t>
  </si>
  <si>
    <t>Srednji prečnik zaptivača</t>
  </si>
  <si>
    <t>Koef. zaptivača pri radu</t>
  </si>
  <si>
    <t>Koef. preoblik. zaptivača</t>
  </si>
  <si>
    <t>Broj vijaka vijčanog spoja</t>
  </si>
  <si>
    <t>Pomoćna vrednost</t>
  </si>
  <si>
    <t>Sila pritiska omotača</t>
  </si>
  <si>
    <t>Sila pritiska zaptivača</t>
  </si>
  <si>
    <t>Ukupna sila vijčanog spoja</t>
  </si>
  <si>
    <t>Prečnik jezgra vijka bez dod.</t>
  </si>
  <si>
    <t xml:space="preserve">Prečnik jezgra vijka </t>
  </si>
  <si>
    <r>
      <t xml:space="preserve">Krug vijka  </t>
    </r>
    <r>
      <rPr>
        <i/>
        <sz val="12"/>
        <rFont val="Arial"/>
        <family val="2"/>
      </rPr>
      <t>e</t>
    </r>
    <r>
      <rPr>
        <sz val="11"/>
        <rFont val="Arial"/>
        <family val="2"/>
      </rPr>
      <t xml:space="preserve"> [mm]</t>
    </r>
  </si>
  <si>
    <t>Ručna sila pritezanja</t>
  </si>
  <si>
    <t>ZAJEDNIČKI PODACI</t>
  </si>
  <si>
    <t>PRORAČUN PRIRUBNIČKOG SPOJA  GLAVE CEVNE PLOČE I OMOTAČA REGISTRA,  SRPS M.E2.258</t>
  </si>
  <si>
    <r>
      <t xml:space="preserve">Vrednosti </t>
    </r>
    <r>
      <rPr>
        <i/>
        <sz val="12"/>
        <rFont val="Arial"/>
        <family val="2"/>
      </rPr>
      <t>Z</t>
    </r>
    <r>
      <rPr>
        <sz val="11"/>
        <rFont val="Arial"/>
        <family val="2"/>
      </rPr>
      <t xml:space="preserve"> i </t>
    </r>
    <r>
      <rPr>
        <i/>
        <sz val="12"/>
        <rFont val="Arial"/>
        <family val="2"/>
      </rPr>
      <t>b</t>
    </r>
    <r>
      <rPr>
        <i/>
        <vertAlign val="subscript"/>
        <sz val="12"/>
        <rFont val="Arial"/>
        <family val="2"/>
      </rPr>
      <t>k</t>
    </r>
  </si>
  <si>
    <t>Redukovani prečnik otvora</t>
  </si>
  <si>
    <r>
      <t>s</t>
    </r>
    <r>
      <rPr>
        <sz val="11"/>
        <color indexed="8"/>
        <rFont val="Times New Roman"/>
        <family val="1"/>
      </rPr>
      <t xml:space="preserve"> [mm]</t>
    </r>
  </si>
  <si>
    <r>
      <t>v</t>
    </r>
    <r>
      <rPr>
        <sz val="11"/>
        <color indexed="8"/>
        <rFont val="Times New Roman"/>
        <family val="1"/>
      </rPr>
      <t xml:space="preserve"> [ - ]</t>
    </r>
  </si>
  <si>
    <r>
      <t>b</t>
    </r>
    <r>
      <rPr>
        <i/>
        <vertAlign val="subscript"/>
        <sz val="11"/>
        <color indexed="8"/>
        <rFont val="Times New Roman"/>
        <family val="1"/>
      </rPr>
      <t>k</t>
    </r>
    <r>
      <rPr>
        <sz val="11"/>
        <color indexed="8"/>
        <rFont val="Times New Roman"/>
        <family val="1"/>
      </rPr>
      <t>[mm]</t>
    </r>
  </si>
  <si>
    <t>Milan Rikalović, SRBIJA, 15300 Loznica, M. Toplice 2</t>
  </si>
  <si>
    <r>
      <t xml:space="preserve">Tel. 64 329-5290,  875-372, </t>
    </r>
  </si>
  <si>
    <t>Autorska prava zadržana zajedno sa knjigom DOBOŠASTI RAZMENJIVAČI TOPLOTE.</t>
  </si>
  <si>
    <t>Aplikacija se bez izmena može neograničeno koristiti uz pomenutu knjigu.</t>
  </si>
  <si>
    <t>Autor ne prihvata nikakvu štetu koja može nastati instalacijom ili korišćenjem aplikacije.</t>
  </si>
  <si>
    <t>Aplikacija se prekopira u željeni direktorijum sa diskete ili web sajta .</t>
  </si>
  <si>
    <t>Otvaranje aplikacije pomoću Microsoft Excel 2000 ili noviji.</t>
  </si>
  <si>
    <t>Da bi decimalno odvajanje bilo u obliku "," podesiti u Control panelu opcija Number</t>
  </si>
  <si>
    <t>odgovarajući izbor.</t>
  </si>
  <si>
    <t>Ažuriranje aktuelne verzije podrške preko:</t>
  </si>
  <si>
    <t>Aplikacija je povezana sa proračunima u knjizi DOBOŠASTI RAZMENJIVAČI TOPLOTE,</t>
  </si>
  <si>
    <t>Aplikacija sadrži sledeće radne listove</t>
  </si>
</sst>
</file>

<file path=xl/styles.xml><?xml version="1.0" encoding="utf-8"?>
<styleSheet xmlns="http://schemas.openxmlformats.org/spreadsheetml/2006/main">
  <numFmts count="4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_);\(#,##0\ &quot;din.&quot;\)"/>
    <numFmt numFmtId="173" formatCode="#,##0\ &quot;din.&quot;_);[Red]\(#,##0\ &quot;din.&quot;\)"/>
    <numFmt numFmtId="174" formatCode="#,##0.00\ &quot;din.&quot;_);\(#,##0.00\ &quot;din.&quot;\)"/>
    <numFmt numFmtId="175" formatCode="#,##0.00\ &quot;din.&quot;_);[Red]\(#,##0.00\ &quot;din.&quot;\)"/>
    <numFmt numFmtId="176" formatCode="_ * #,##0_)\ &quot;din.&quot;_ ;_ * \(#,##0\)\ &quot;din.&quot;_ ;_ * &quot;-&quot;_)\ &quot;din.&quot;_ ;_ @_ "/>
    <numFmt numFmtId="177" formatCode="_ * #,##0_)\ _D_i_n_._ ;_ * \(#,##0\)\ _D_i_n_._ ;_ * &quot;-&quot;_)\ _D_i_n_._ ;_ @_ "/>
    <numFmt numFmtId="178" formatCode="_ * #,##0.00_)\ &quot;din.&quot;_ ;_ * \(#,##0.00\)\ &quot;din.&quot;_ ;_ * &quot;-&quot;??_)\ &quot;din.&quot;_ ;_ @_ "/>
    <numFmt numFmtId="179" formatCode="_ * #,##0.00_)\ _D_i_n_._ ;_ * \(#,##0.00\)\ _D_i_n_._ ;_ * &quot;-&quot;??_)\ _D_i_n_._ ;_ @_ "/>
    <numFmt numFmtId="180" formatCode="00000"/>
    <numFmt numFmtId="181" formatCode="0.00;[Red]0.00"/>
    <numFmt numFmtId="182" formatCode="0.0;[Red]0.0"/>
    <numFmt numFmtId="183" formatCode="0;[Red]0"/>
    <numFmt numFmtId="184" formatCode="0.0%"/>
    <numFmt numFmtId="185" formatCode="0.0"/>
    <numFmt numFmtId="186" formatCode="0.000"/>
    <numFmt numFmtId="187" formatCode="0.0000"/>
    <numFmt numFmtId="188" formatCode="0.00000"/>
    <numFmt numFmtId="189" formatCode="0.000000"/>
    <numFmt numFmtId="190" formatCode="0.0000000"/>
    <numFmt numFmtId="191" formatCode="0.00000000"/>
    <numFmt numFmtId="192" formatCode="dd\-mmm\-yy"/>
    <numFmt numFmtId="193" formatCode="dd/mm/yyyy"/>
    <numFmt numFmtId="194" formatCode="0.000000000"/>
    <numFmt numFmtId="195" formatCode="0.0000000000"/>
    <numFmt numFmtId="196" formatCode="0.00000000000"/>
    <numFmt numFmtId="197" formatCode="0.000000000000"/>
    <numFmt numFmtId="198" formatCode="&quot;Da&quot;;&quot;Da&quot;;&quot;Ne&quot;"/>
    <numFmt numFmtId="199" formatCode="&quot;Istina&quot;;&quot;Istina&quot;;&quot;Laž&quot;"/>
    <numFmt numFmtId="200" formatCode="&quot;Uključeno&quot;;&quot;Uključeno&quot;;&quot;Isključeno&quot;"/>
  </numFmts>
  <fonts count="19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vertAlign val="superscript"/>
      <sz val="10"/>
      <name val="Arial"/>
      <family val="2"/>
    </font>
    <font>
      <sz val="12"/>
      <name val="Symbol"/>
      <family val="1"/>
    </font>
    <font>
      <sz val="10"/>
      <name val="YU L Swiss"/>
      <family val="2"/>
    </font>
    <font>
      <sz val="12"/>
      <name val="YU L Swiss"/>
      <family val="2"/>
    </font>
    <font>
      <sz val="12"/>
      <name val="Arial"/>
      <family val="0"/>
    </font>
    <font>
      <sz val="11"/>
      <name val="YU L Swiss"/>
      <family val="2"/>
    </font>
    <font>
      <sz val="11"/>
      <name val="Arial"/>
      <family val="2"/>
    </font>
    <font>
      <sz val="8"/>
      <name val="Arial"/>
      <family val="2"/>
    </font>
    <font>
      <sz val="11"/>
      <name val="Symbol"/>
      <family val="1"/>
    </font>
    <font>
      <vertAlign val="superscript"/>
      <sz val="11"/>
      <name val="Arial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10"/>
      <color indexed="12"/>
      <name val="Bahamas Bold YU"/>
      <family val="2"/>
    </font>
    <font>
      <sz val="10"/>
      <color indexed="20"/>
      <name val="YU L Umrela"/>
      <family val="2"/>
    </font>
    <font>
      <sz val="10"/>
      <color indexed="12"/>
      <name val="Bahamas YU"/>
      <family val="2"/>
    </font>
    <font>
      <sz val="20"/>
      <color indexed="21"/>
      <name val="YUPostAntiquaB"/>
      <family val="0"/>
    </font>
    <font>
      <sz val="10"/>
      <name val="YUDutchB"/>
      <family val="0"/>
    </font>
    <font>
      <sz val="12"/>
      <color indexed="8"/>
      <name val="YU L Swiss"/>
      <family val="2"/>
    </font>
    <font>
      <sz val="12"/>
      <color indexed="8"/>
      <name val="Arial"/>
      <family val="0"/>
    </font>
    <font>
      <b/>
      <sz val="11"/>
      <color indexed="12"/>
      <name val="Arial"/>
      <family val="2"/>
    </font>
    <font>
      <b/>
      <sz val="11"/>
      <color indexed="12"/>
      <name val="YU L Swiss"/>
      <family val="2"/>
    </font>
    <font>
      <b/>
      <sz val="11"/>
      <color indexed="16"/>
      <name val="YU L Swiss"/>
      <family val="2"/>
    </font>
    <font>
      <sz val="11"/>
      <color indexed="16"/>
      <name val="YU L Swiss"/>
      <family val="2"/>
    </font>
    <font>
      <sz val="12"/>
      <color indexed="33"/>
      <name val="YU L Swiss"/>
      <family val="2"/>
    </font>
    <font>
      <b/>
      <sz val="12"/>
      <color indexed="33"/>
      <name val="YU L Swiss"/>
      <family val="2"/>
    </font>
    <font>
      <sz val="10"/>
      <color indexed="10"/>
      <name val="YU L Swiss"/>
      <family val="2"/>
    </font>
    <font>
      <b/>
      <sz val="12"/>
      <color indexed="12"/>
      <name val="YU L Swiss"/>
      <family val="2"/>
    </font>
    <font>
      <sz val="10"/>
      <color indexed="8"/>
      <name val="Arial"/>
      <family val="2"/>
    </font>
    <font>
      <sz val="11"/>
      <color indexed="33"/>
      <name val="YU L Swiss"/>
      <family val="2"/>
    </font>
    <font>
      <vertAlign val="subscript"/>
      <sz val="12"/>
      <name val="Arial"/>
      <family val="2"/>
    </font>
    <font>
      <vertAlign val="superscript"/>
      <sz val="12"/>
      <name val="Arial"/>
      <family val="2"/>
    </font>
    <font>
      <sz val="12"/>
      <color indexed="12"/>
      <name val="Arial"/>
      <family val="2"/>
    </font>
    <font>
      <sz val="10"/>
      <color indexed="8"/>
      <name val="Symbol"/>
      <family val="1"/>
    </font>
    <font>
      <vertAlign val="subscript"/>
      <sz val="12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sz val="12"/>
      <color indexed="10"/>
      <name val="YU L Swiss"/>
      <family val="2"/>
    </font>
    <font>
      <sz val="11"/>
      <color indexed="14"/>
      <name val="YU L Swiss"/>
      <family val="2"/>
    </font>
    <font>
      <b/>
      <sz val="10"/>
      <color indexed="14"/>
      <name val="Arial"/>
      <family val="2"/>
    </font>
    <font>
      <sz val="9"/>
      <name val="YU L Swiss"/>
      <family val="2"/>
    </font>
    <font>
      <b/>
      <sz val="12"/>
      <color indexed="14"/>
      <name val="Arial"/>
      <family val="2"/>
    </font>
    <font>
      <b/>
      <sz val="12"/>
      <color indexed="8"/>
      <name val="YU L Swiss"/>
      <family val="2"/>
    </font>
    <font>
      <b/>
      <sz val="10"/>
      <color indexed="8"/>
      <name val="YU L Swiss"/>
      <family val="2"/>
    </font>
    <font>
      <sz val="12"/>
      <color indexed="14"/>
      <name val="Arial"/>
      <family val="2"/>
    </font>
    <font>
      <vertAlign val="superscript"/>
      <sz val="12"/>
      <color indexed="14"/>
      <name val="Arial"/>
      <family val="2"/>
    </font>
    <font>
      <sz val="10"/>
      <color indexed="10"/>
      <name val="Arial"/>
      <family val="2"/>
    </font>
    <font>
      <sz val="10"/>
      <color indexed="8"/>
      <name val="YU L Swiss"/>
      <family val="2"/>
    </font>
    <font>
      <sz val="10"/>
      <color indexed="14"/>
      <name val="Arial"/>
      <family val="2"/>
    </font>
    <font>
      <b/>
      <sz val="10"/>
      <color indexed="12"/>
      <name val="Arial"/>
      <family val="2"/>
    </font>
    <font>
      <sz val="17.75"/>
      <name val="Arial"/>
      <family val="0"/>
    </font>
    <font>
      <b/>
      <sz val="21.25"/>
      <name val="Arial"/>
      <family val="0"/>
    </font>
    <font>
      <b/>
      <sz val="17.75"/>
      <name val="Arial"/>
      <family val="0"/>
    </font>
    <font>
      <b/>
      <sz val="11"/>
      <color indexed="8"/>
      <name val="Arial"/>
      <family val="2"/>
    </font>
    <font>
      <sz val="10"/>
      <name val="Symbol"/>
      <family val="1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sz val="10"/>
      <color indexed="12"/>
      <name val="YU L Swiss"/>
      <family val="2"/>
    </font>
    <font>
      <b/>
      <sz val="12"/>
      <color indexed="20"/>
      <name val="Arial"/>
      <family val="2"/>
    </font>
    <font>
      <sz val="10"/>
      <color indexed="16"/>
      <name val="Arial"/>
      <family val="0"/>
    </font>
    <font>
      <sz val="10"/>
      <color indexed="21"/>
      <name val="YU L Swiss"/>
      <family val="2"/>
    </font>
    <font>
      <b/>
      <sz val="10"/>
      <color indexed="8"/>
      <name val="Arial"/>
      <family val="2"/>
    </font>
    <font>
      <b/>
      <sz val="10"/>
      <color indexed="21"/>
      <name val="Arial"/>
      <family val="2"/>
    </font>
    <font>
      <b/>
      <sz val="12"/>
      <color indexed="19"/>
      <name val="Arial"/>
      <family val="2"/>
    </font>
    <font>
      <b/>
      <sz val="10"/>
      <color indexed="19"/>
      <name val="Arial"/>
      <family val="2"/>
    </font>
    <font>
      <b/>
      <sz val="10"/>
      <color indexed="60"/>
      <name val="Arial"/>
      <family val="2"/>
    </font>
    <font>
      <sz val="12"/>
      <color indexed="8"/>
      <name val="Symbol"/>
      <family val="1"/>
    </font>
    <font>
      <b/>
      <sz val="12"/>
      <color indexed="16"/>
      <name val="Arial"/>
      <family val="2"/>
    </font>
    <font>
      <b/>
      <sz val="12"/>
      <color indexed="6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YU L Swiss"/>
      <family val="2"/>
    </font>
    <font>
      <b/>
      <sz val="12"/>
      <color indexed="21"/>
      <name val="YU L Swiss"/>
      <family val="2"/>
    </font>
    <font>
      <sz val="11"/>
      <color indexed="8"/>
      <name val="Arial"/>
      <family val="2"/>
    </font>
    <font>
      <vertAlign val="superscript"/>
      <sz val="11"/>
      <color indexed="8"/>
      <name val="Arial"/>
      <family val="2"/>
    </font>
    <font>
      <b/>
      <sz val="12"/>
      <name val="YU L Swiss"/>
      <family val="2"/>
    </font>
    <font>
      <b/>
      <sz val="11"/>
      <name val="Arial"/>
      <family val="2"/>
    </font>
    <font>
      <sz val="11"/>
      <color indexed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vertAlign val="subscript"/>
      <sz val="11"/>
      <name val="Arial"/>
      <family val="2"/>
    </font>
    <font>
      <sz val="11"/>
      <color indexed="10"/>
      <name val="YU L Swiss"/>
      <family val="2"/>
    </font>
    <font>
      <sz val="11"/>
      <color indexed="8"/>
      <name val="YU L Swiss"/>
      <family val="2"/>
    </font>
    <font>
      <sz val="8"/>
      <name val="Symbol"/>
      <family val="1"/>
    </font>
    <font>
      <sz val="11"/>
      <color indexed="14"/>
      <name val="Arial"/>
      <family val="2"/>
    </font>
    <font>
      <b/>
      <sz val="11"/>
      <color indexed="14"/>
      <name val="Arial"/>
      <family val="2"/>
    </font>
    <font>
      <b/>
      <sz val="11"/>
      <color indexed="16"/>
      <name val="Arial"/>
      <family val="2"/>
    </font>
    <font>
      <sz val="9.5"/>
      <name val="Arial"/>
      <family val="2"/>
    </font>
    <font>
      <vertAlign val="superscript"/>
      <sz val="9.5"/>
      <name val="Arial"/>
      <family val="2"/>
    </font>
    <font>
      <sz val="11"/>
      <color indexed="16"/>
      <name val="Arial"/>
      <family val="2"/>
    </font>
    <font>
      <sz val="11"/>
      <color indexed="20"/>
      <name val="Arial"/>
      <family val="2"/>
    </font>
    <font>
      <b/>
      <vertAlign val="superscript"/>
      <sz val="11"/>
      <name val="Arial"/>
      <family val="2"/>
    </font>
    <font>
      <sz val="10"/>
      <color indexed="12"/>
      <name val="Yu Helvetica"/>
      <family val="2"/>
    </font>
    <font>
      <sz val="10"/>
      <color indexed="20"/>
      <name val="Yu Helvetica"/>
      <family val="2"/>
    </font>
    <font>
      <vertAlign val="subscript"/>
      <sz val="11"/>
      <color indexed="8"/>
      <name val="Arial"/>
      <family val="2"/>
    </font>
    <font>
      <sz val="8"/>
      <color indexed="8"/>
      <name val="YU L Swiss"/>
      <family val="2"/>
    </font>
    <font>
      <b/>
      <sz val="11"/>
      <color indexed="8"/>
      <name val="YU L Swiss"/>
      <family val="2"/>
    </font>
    <font>
      <sz val="10"/>
      <color indexed="21"/>
      <name val="Arial"/>
      <family val="2"/>
    </font>
    <font>
      <sz val="11"/>
      <color indexed="8"/>
      <name val="Symbol"/>
      <family val="1"/>
    </font>
    <font>
      <sz val="10"/>
      <color indexed="16"/>
      <name val="YU L Swiss"/>
      <family val="2"/>
    </font>
    <font>
      <sz val="10"/>
      <color indexed="60"/>
      <name val="Arial"/>
      <family val="2"/>
    </font>
    <font>
      <b/>
      <sz val="11"/>
      <color indexed="21"/>
      <name val="YU L Swiss"/>
      <family val="2"/>
    </font>
    <font>
      <sz val="9"/>
      <color indexed="16"/>
      <name val="Arial"/>
      <family val="2"/>
    </font>
    <font>
      <b/>
      <sz val="11"/>
      <color indexed="21"/>
      <name val="Arial"/>
      <family val="2"/>
    </font>
    <font>
      <sz val="11"/>
      <color indexed="12"/>
      <name val="YU L Swiss"/>
      <family val="2"/>
    </font>
    <font>
      <b/>
      <sz val="11"/>
      <color indexed="33"/>
      <name val="YU L Swiss"/>
      <family val="2"/>
    </font>
    <font>
      <sz val="11"/>
      <color indexed="39"/>
      <name val="YU L Swiss"/>
      <family val="2"/>
    </font>
    <font>
      <b/>
      <sz val="11"/>
      <color indexed="14"/>
      <name val="YU L Swiss"/>
      <family val="2"/>
    </font>
    <font>
      <b/>
      <sz val="11"/>
      <color indexed="39"/>
      <name val="Arial"/>
      <family val="2"/>
    </font>
    <font>
      <b/>
      <sz val="10"/>
      <color indexed="21"/>
      <name val="YU L Swiss"/>
      <family val="2"/>
    </font>
    <font>
      <vertAlign val="superscript"/>
      <sz val="10"/>
      <name val="YU L Swiss"/>
      <family val="2"/>
    </font>
    <font>
      <b/>
      <sz val="11"/>
      <name val="YU L Swiss"/>
      <family val="2"/>
    </font>
    <font>
      <sz val="9"/>
      <name val="YUSwissB"/>
      <family val="0"/>
    </font>
    <font>
      <sz val="17.25"/>
      <name val="Arial"/>
      <family val="0"/>
    </font>
    <font>
      <u val="single"/>
      <sz val="11"/>
      <color indexed="12"/>
      <name val="Arial"/>
      <family val="2"/>
    </font>
    <font>
      <sz val="8"/>
      <color indexed="21"/>
      <name val="YU L Swiss"/>
      <family val="2"/>
    </font>
    <font>
      <sz val="8"/>
      <color indexed="12"/>
      <name val="Arial"/>
      <family val="2"/>
    </font>
    <font>
      <sz val="8"/>
      <color indexed="21"/>
      <name val="Arial"/>
      <family val="2"/>
    </font>
    <font>
      <sz val="10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vertAlign val="subscript"/>
      <sz val="12"/>
      <color indexed="8"/>
      <name val="Times New Roman"/>
      <family val="1"/>
    </font>
    <font>
      <vertAlign val="subscript"/>
      <sz val="12"/>
      <color indexed="8"/>
      <name val="Times New Roman"/>
      <family val="1"/>
    </font>
    <font>
      <i/>
      <sz val="12"/>
      <color indexed="8"/>
      <name val="Arial"/>
      <family val="2"/>
    </font>
    <font>
      <i/>
      <vertAlign val="subscript"/>
      <sz val="12"/>
      <color indexed="8"/>
      <name val="Arial"/>
      <family val="2"/>
    </font>
    <font>
      <i/>
      <sz val="12"/>
      <name val="Times New Roman"/>
      <family val="1"/>
    </font>
    <font>
      <i/>
      <vertAlign val="subscript"/>
      <sz val="12"/>
      <name val="Times New Roman"/>
      <family val="1"/>
    </font>
    <font>
      <vertAlign val="subscript"/>
      <sz val="12"/>
      <name val="Times New Roman"/>
      <family val="1"/>
    </font>
    <font>
      <i/>
      <sz val="11"/>
      <color indexed="8"/>
      <name val="Times New Roman"/>
      <family val="1"/>
    </font>
    <font>
      <i/>
      <vertAlign val="subscript"/>
      <sz val="11"/>
      <color indexed="8"/>
      <name val="Times New Roman"/>
      <family val="1"/>
    </font>
    <font>
      <i/>
      <sz val="10"/>
      <name val="Times New Roman"/>
      <family val="1"/>
    </font>
    <font>
      <i/>
      <sz val="10"/>
      <color indexed="8"/>
      <name val="Arial"/>
      <family val="2"/>
    </font>
    <font>
      <i/>
      <sz val="10"/>
      <name val="Symbol"/>
      <family val="1"/>
    </font>
    <font>
      <i/>
      <sz val="11"/>
      <color indexed="8"/>
      <name val="YU L Swiss"/>
      <family val="2"/>
    </font>
    <font>
      <vertAlign val="subscript"/>
      <sz val="11"/>
      <name val="Times New Roman"/>
      <family val="1"/>
    </font>
    <font>
      <i/>
      <sz val="11"/>
      <name val="Times New Roman"/>
      <family val="1"/>
    </font>
    <font>
      <i/>
      <vertAlign val="subscript"/>
      <sz val="11"/>
      <name val="Times New Roman"/>
      <family val="1"/>
    </font>
    <font>
      <i/>
      <vertAlign val="subscript"/>
      <sz val="10"/>
      <color indexed="8"/>
      <name val="Arial"/>
      <family val="2"/>
    </font>
    <font>
      <i/>
      <sz val="12"/>
      <name val="Arial"/>
      <family val="2"/>
    </font>
    <font>
      <vertAlign val="subscript"/>
      <sz val="12"/>
      <color indexed="8"/>
      <name val="YU L Swiss"/>
      <family val="2"/>
    </font>
    <font>
      <i/>
      <sz val="12"/>
      <name val="Symbol"/>
      <family val="1"/>
    </font>
    <font>
      <i/>
      <vertAlign val="subscript"/>
      <sz val="12"/>
      <name val="Arial"/>
      <family val="2"/>
    </font>
    <font>
      <i/>
      <sz val="12"/>
      <color indexed="8"/>
      <name val="Symbol"/>
      <family val="1"/>
    </font>
    <font>
      <u val="single"/>
      <sz val="12"/>
      <name val="Times New Roman"/>
      <family val="1"/>
    </font>
    <font>
      <i/>
      <sz val="12"/>
      <color indexed="8"/>
      <name val="YU L Swiss"/>
      <family val="2"/>
    </font>
    <font>
      <sz val="11"/>
      <color indexed="8"/>
      <name val="Times New Roman"/>
      <family val="1"/>
    </font>
    <font>
      <vertAlign val="superscript"/>
      <sz val="12"/>
      <name val="Times New Roman"/>
      <family val="1"/>
    </font>
    <font>
      <sz val="11"/>
      <name val="Times New Roman"/>
      <family val="1"/>
    </font>
    <font>
      <i/>
      <vertAlign val="subscript"/>
      <sz val="11"/>
      <name val="Arial"/>
      <family val="2"/>
    </font>
    <font>
      <i/>
      <sz val="12"/>
      <color indexed="14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12"/>
      <name val="Times New Roman"/>
      <family val="1"/>
    </font>
    <font>
      <sz val="8.5"/>
      <name val="Symbol"/>
      <family val="1"/>
    </font>
    <font>
      <i/>
      <sz val="12"/>
      <color indexed="10"/>
      <name val="Times New Roman"/>
      <family val="1"/>
    </font>
    <font>
      <i/>
      <vertAlign val="subscript"/>
      <sz val="12"/>
      <color indexed="14"/>
      <name val="Times New Roman"/>
      <family val="1"/>
    </font>
    <font>
      <sz val="12"/>
      <color indexed="10"/>
      <name val="Arial"/>
      <family val="2"/>
    </font>
    <font>
      <vertAlign val="subscript"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sz val="20"/>
      <color indexed="21"/>
      <name val="Arial"/>
      <family val="2"/>
    </font>
    <font>
      <i/>
      <sz val="11"/>
      <color indexed="8"/>
      <name val="Arial"/>
      <family val="2"/>
    </font>
    <font>
      <i/>
      <vertAlign val="subscript"/>
      <sz val="11"/>
      <color indexed="8"/>
      <name val="Arial"/>
      <family val="2"/>
    </font>
    <font>
      <sz val="18"/>
      <color indexed="21"/>
      <name val="Arial"/>
      <family val="2"/>
    </font>
    <font>
      <sz val="9"/>
      <color indexed="8"/>
      <name val="Arial"/>
      <family val="2"/>
    </font>
    <font>
      <b/>
      <sz val="12"/>
      <color indexed="33"/>
      <name val="Arial"/>
      <family val="2"/>
    </font>
    <font>
      <b/>
      <i/>
      <sz val="12"/>
      <color indexed="8"/>
      <name val="Arial"/>
      <family val="2"/>
    </font>
    <font>
      <i/>
      <vertAlign val="subscript"/>
      <sz val="9"/>
      <color indexed="8"/>
      <name val="Arial"/>
      <family val="2"/>
    </font>
    <font>
      <sz val="12"/>
      <color indexed="20"/>
      <name val="Arial"/>
      <family val="2"/>
    </font>
    <font>
      <sz val="12"/>
      <color indexed="16"/>
      <name val="Arial"/>
      <family val="2"/>
    </font>
    <font>
      <i/>
      <sz val="12"/>
      <color indexed="16"/>
      <name val="Arial"/>
      <family val="2"/>
    </font>
    <font>
      <i/>
      <vertAlign val="subscript"/>
      <sz val="12"/>
      <color indexed="16"/>
      <name val="Arial"/>
      <family val="2"/>
    </font>
    <font>
      <vertAlign val="superscript"/>
      <sz val="11"/>
      <name val="Times New Roman"/>
      <family val="1"/>
    </font>
    <font>
      <sz val="11"/>
      <color indexed="10"/>
      <name val="Arial"/>
      <family val="2"/>
    </font>
    <font>
      <i/>
      <sz val="12"/>
      <color indexed="10"/>
      <name val="Arial"/>
      <family val="2"/>
    </font>
    <font>
      <b/>
      <sz val="12"/>
      <color indexed="21"/>
      <name val="Arial"/>
      <family val="2"/>
    </font>
    <font>
      <sz val="12"/>
      <color indexed="33"/>
      <name val="Arial"/>
      <family val="2"/>
    </font>
    <font>
      <sz val="11"/>
      <color indexed="8"/>
      <name val="Arial "/>
      <family val="0"/>
    </font>
    <font>
      <b/>
      <sz val="12"/>
      <color indexed="33"/>
      <name val="Arial "/>
      <family val="0"/>
    </font>
    <font>
      <sz val="12"/>
      <color indexed="33"/>
      <name val="Arial "/>
      <family val="0"/>
    </font>
    <font>
      <sz val="12"/>
      <name val="Arial "/>
      <family val="0"/>
    </font>
    <font>
      <sz val="11"/>
      <color indexed="33"/>
      <name val="Arial"/>
      <family val="2"/>
    </font>
    <font>
      <b/>
      <sz val="18"/>
      <color indexed="21"/>
      <name val="Arial"/>
      <family val="2"/>
    </font>
    <font>
      <b/>
      <sz val="11"/>
      <color indexed="33"/>
      <name val="Arial"/>
      <family val="2"/>
    </font>
    <font>
      <i/>
      <sz val="11"/>
      <name val="Arial"/>
      <family val="2"/>
    </font>
    <font>
      <sz val="14"/>
      <color indexed="14"/>
      <name val="Arial"/>
      <family val="2"/>
    </font>
    <font>
      <b/>
      <u val="single"/>
      <sz val="11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6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34"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23" fillId="2" borderId="1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 vertical="center"/>
    </xf>
    <xf numFmtId="0" fontId="36" fillId="0" borderId="0" xfId="0" applyFont="1" applyFill="1" applyBorder="1" applyAlignment="1" quotePrefix="1">
      <alignment horizontal="left" vertical="center"/>
    </xf>
    <xf numFmtId="0" fontId="44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54" fillId="2" borderId="2" xfId="0" applyFont="1" applyFill="1" applyBorder="1" applyAlignment="1" applyProtection="1">
      <alignment horizontal="center"/>
      <protection locked="0"/>
    </xf>
    <xf numFmtId="11" fontId="54" fillId="2" borderId="2" xfId="0" applyNumberFormat="1" applyFont="1" applyFill="1" applyBorder="1" applyAlignment="1" applyProtection="1">
      <alignment horizontal="center"/>
      <protection locked="0"/>
    </xf>
    <xf numFmtId="0" fontId="61" fillId="2" borderId="2" xfId="0" applyFont="1" applyFill="1" applyBorder="1" applyAlignment="1" applyProtection="1">
      <alignment horizontal="center" vertical="center"/>
      <protection locked="0"/>
    </xf>
    <xf numFmtId="0" fontId="30" fillId="2" borderId="2" xfId="0" applyFont="1" applyFill="1" applyBorder="1" applyAlignment="1" applyProtection="1">
      <alignment horizontal="center" vertical="center"/>
      <protection locked="0"/>
    </xf>
    <xf numFmtId="0" fontId="54" fillId="2" borderId="2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6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23" fillId="2" borderId="3" xfId="0" applyFont="1" applyFill="1" applyBorder="1" applyAlignment="1" applyProtection="1">
      <alignment horizontal="center" vertical="center"/>
      <protection locked="0"/>
    </xf>
    <xf numFmtId="0" fontId="23" fillId="2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64" fillId="0" borderId="0" xfId="0" applyFont="1" applyBorder="1" applyAlignment="1" applyProtection="1">
      <alignment vertical="center"/>
      <protection/>
    </xf>
    <xf numFmtId="0" fontId="65" fillId="0" borderId="0" xfId="0" applyFont="1" applyFill="1" applyBorder="1" applyAlignment="1" applyProtection="1">
      <alignment vertical="center"/>
      <protection/>
    </xf>
    <xf numFmtId="0" fontId="66" fillId="0" borderId="0" xfId="0" applyFont="1" applyFill="1" applyBorder="1" applyAlignment="1" applyProtection="1">
      <alignment horizontal="center" vertical="center"/>
      <protection/>
    </xf>
    <xf numFmtId="0" fontId="64" fillId="0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0" fontId="31" fillId="0" borderId="0" xfId="0" applyFont="1" applyAlignment="1" applyProtection="1">
      <alignment/>
      <protection/>
    </xf>
    <xf numFmtId="0" fontId="23" fillId="2" borderId="0" xfId="0" applyFont="1" applyFill="1" applyAlignment="1" applyProtection="1">
      <alignment horizontal="center"/>
      <protection locked="0"/>
    </xf>
    <xf numFmtId="0" fontId="54" fillId="2" borderId="4" xfId="0" applyFont="1" applyFill="1" applyBorder="1" applyAlignment="1" applyProtection="1">
      <alignment horizontal="center" vertical="center"/>
      <protection locked="0"/>
    </xf>
    <xf numFmtId="0" fontId="23" fillId="2" borderId="2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23" fillId="2" borderId="5" xfId="0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8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81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23" fillId="2" borderId="6" xfId="0" applyFont="1" applyFill="1" applyBorder="1" applyAlignment="1" applyProtection="1">
      <alignment horizontal="center" vertical="center"/>
      <protection locked="0"/>
    </xf>
    <xf numFmtId="0" fontId="23" fillId="2" borderId="7" xfId="0" applyFont="1" applyFill="1" applyBorder="1" applyAlignment="1" applyProtection="1">
      <alignment horizontal="center" vertical="center"/>
      <protection locked="0"/>
    </xf>
    <xf numFmtId="0" fontId="23" fillId="2" borderId="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61" fillId="2" borderId="3" xfId="0" applyFont="1" applyFill="1" applyBorder="1" applyAlignment="1" applyProtection="1">
      <alignment horizontal="center" vertical="center"/>
      <protection locked="0"/>
    </xf>
    <xf numFmtId="0" fontId="61" fillId="2" borderId="8" xfId="0" applyFont="1" applyFill="1" applyBorder="1" applyAlignment="1" applyProtection="1">
      <alignment horizontal="center" vertical="center"/>
      <protection locked="0"/>
    </xf>
    <xf numFmtId="0" fontId="23" fillId="2" borderId="9" xfId="0" applyFont="1" applyFill="1" applyBorder="1" applyAlignment="1" applyProtection="1">
      <alignment horizontal="center" vertical="center"/>
      <protection locked="0"/>
    </xf>
    <xf numFmtId="0" fontId="81" fillId="2" borderId="3" xfId="0" applyNumberFormat="1" applyFont="1" applyFill="1" applyBorder="1" applyAlignment="1" applyProtection="1">
      <alignment horizontal="center" vertical="center"/>
      <protection locked="0"/>
    </xf>
    <xf numFmtId="0" fontId="81" fillId="2" borderId="10" xfId="0" applyNumberFormat="1" applyFont="1" applyFill="1" applyBorder="1" applyAlignment="1" applyProtection="1">
      <alignment horizontal="center" vertical="center"/>
      <protection locked="0"/>
    </xf>
    <xf numFmtId="0" fontId="35" fillId="2" borderId="8" xfId="0" applyNumberFormat="1" applyFont="1" applyFill="1" applyBorder="1" applyAlignment="1" applyProtection="1">
      <alignment horizontal="center" vertical="center"/>
      <protection locked="0"/>
    </xf>
    <xf numFmtId="0" fontId="35" fillId="2" borderId="10" xfId="0" applyNumberFormat="1" applyFont="1" applyFill="1" applyBorder="1" applyAlignment="1" applyProtection="1">
      <alignment horizontal="center" vertical="center"/>
      <protection locked="0"/>
    </xf>
    <xf numFmtId="0" fontId="35" fillId="2" borderId="2" xfId="0" applyFont="1" applyFill="1" applyBorder="1" applyAlignment="1" applyProtection="1">
      <alignment horizontal="center" vertical="center"/>
      <protection locked="0"/>
    </xf>
    <xf numFmtId="0" fontId="35" fillId="2" borderId="11" xfId="0" applyFont="1" applyFill="1" applyBorder="1" applyAlignment="1" applyProtection="1">
      <alignment horizontal="center" vertical="center"/>
      <protection locked="0"/>
    </xf>
    <xf numFmtId="0" fontId="89" fillId="0" borderId="0" xfId="0" applyFont="1" applyFill="1" applyBorder="1" applyAlignment="1">
      <alignment horizontal="center" vertical="center"/>
    </xf>
    <xf numFmtId="0" fontId="0" fillId="0" borderId="0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31" fillId="0" borderId="0" xfId="0" applyFont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 horizontal="center" vertical="center"/>
      <protection/>
    </xf>
    <xf numFmtId="0" fontId="68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vertical="center"/>
    </xf>
    <xf numFmtId="0" fontId="23" fillId="2" borderId="2" xfId="0" applyFont="1" applyFill="1" applyBorder="1" applyAlignment="1" applyProtection="1">
      <alignment horizontal="center" vertical="center"/>
      <protection locked="0"/>
    </xf>
    <xf numFmtId="0" fontId="101" fillId="0" borderId="0" xfId="0" applyFont="1" applyAlignment="1" quotePrefix="1">
      <alignment horizontal="center" vertical="center"/>
    </xf>
    <xf numFmtId="0" fontId="0" fillId="0" borderId="0" xfId="0" applyFont="1" applyAlignment="1">
      <alignment horizontal="left" vertical="center"/>
    </xf>
    <xf numFmtId="0" fontId="101" fillId="0" borderId="0" xfId="0" applyNumberFormat="1" applyFont="1" applyAlignment="1" quotePrefix="1">
      <alignment horizontal="center" vertical="center"/>
    </xf>
    <xf numFmtId="0" fontId="6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>
      <alignment horizontal="left" vertical="center"/>
    </xf>
    <xf numFmtId="0" fontId="60" fillId="0" borderId="0" xfId="0" applyNumberFormat="1" applyFont="1" applyFill="1" applyAlignment="1" applyProtection="1" quotePrefix="1">
      <alignment horizontal="center" vertical="center"/>
      <protection locked="0"/>
    </xf>
    <xf numFmtId="0" fontId="23" fillId="2" borderId="12" xfId="0" applyFont="1" applyFill="1" applyBorder="1" applyAlignment="1" applyProtection="1">
      <alignment horizontal="center" vertical="center"/>
      <protection locked="0"/>
    </xf>
    <xf numFmtId="0" fontId="23" fillId="2" borderId="13" xfId="0" applyFont="1" applyFill="1" applyBorder="1" applyAlignment="1" applyProtection="1">
      <alignment horizontal="center" vertical="center"/>
      <protection locked="0"/>
    </xf>
    <xf numFmtId="0" fontId="6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03" fillId="0" borderId="0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left" vertical="center"/>
    </xf>
    <xf numFmtId="0" fontId="104" fillId="0" borderId="0" xfId="0" applyFont="1" applyFill="1" applyAlignment="1" quotePrefix="1">
      <alignment horizontal="center" vertical="center"/>
    </xf>
    <xf numFmtId="0" fontId="23" fillId="2" borderId="14" xfId="0" applyFont="1" applyFill="1" applyBorder="1" applyAlignment="1" applyProtection="1">
      <alignment horizontal="center" vertical="center"/>
      <protection locked="0"/>
    </xf>
    <xf numFmtId="0" fontId="41" fillId="0" borderId="0" xfId="0" applyFont="1" applyAlignment="1" applyProtection="1">
      <alignment vertical="center"/>
      <protection/>
    </xf>
    <xf numFmtId="187" fontId="0" fillId="0" borderId="0" xfId="0" applyNumberFormat="1" applyAlignment="1" applyProtection="1">
      <alignment/>
      <protection/>
    </xf>
    <xf numFmtId="0" fontId="107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left" vertical="center"/>
    </xf>
    <xf numFmtId="0" fontId="54" fillId="2" borderId="0" xfId="0" applyFont="1" applyFill="1" applyBorder="1" applyAlignment="1" applyProtection="1">
      <alignment vertical="center"/>
      <protection locked="0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43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88" fillId="0" borderId="0" xfId="0" applyFont="1" applyAlignment="1">
      <alignment vertical="center"/>
    </xf>
    <xf numFmtId="0" fontId="26" fillId="0" borderId="0" xfId="0" applyFont="1" applyBorder="1" applyAlignment="1">
      <alignment horizontal="left" vertical="center"/>
    </xf>
    <xf numFmtId="0" fontId="110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9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/>
    </xf>
    <xf numFmtId="0" fontId="113" fillId="0" borderId="0" xfId="0" applyFont="1" applyFill="1" applyBorder="1" applyAlignment="1">
      <alignment horizontal="center"/>
    </xf>
    <xf numFmtId="0" fontId="113" fillId="0" borderId="0" xfId="0" applyFont="1" applyFill="1" applyBorder="1" applyAlignment="1">
      <alignment horizontal="left"/>
    </xf>
    <xf numFmtId="0" fontId="114" fillId="0" borderId="0" xfId="0" applyFont="1" applyFill="1" applyBorder="1" applyAlignment="1">
      <alignment horizontal="left"/>
    </xf>
    <xf numFmtId="0" fontId="75" fillId="0" borderId="0" xfId="0" applyFont="1" applyFill="1" applyBorder="1" applyAlignment="1">
      <alignment horizontal="center" vertical="center"/>
    </xf>
    <xf numFmtId="0" fontId="115" fillId="0" borderId="0" xfId="0" applyFont="1" applyFill="1" applyBorder="1" applyAlignment="1">
      <alignment horizontal="left"/>
    </xf>
    <xf numFmtId="0" fontId="79" fillId="0" borderId="0" xfId="0" applyFont="1" applyFill="1" applyBorder="1" applyAlignment="1">
      <alignment horizontal="left" vertical="center"/>
    </xf>
    <xf numFmtId="185" fontId="100" fillId="0" borderId="0" xfId="0" applyNumberFormat="1" applyFont="1" applyFill="1" applyBorder="1" applyAlignment="1">
      <alignment horizontal="center" vertical="center"/>
    </xf>
    <xf numFmtId="0" fontId="75" fillId="0" borderId="0" xfId="0" applyFont="1" applyFill="1" applyBorder="1" applyAlignment="1">
      <alignment horizontal="left"/>
    </xf>
    <xf numFmtId="2" fontId="75" fillId="0" borderId="0" xfId="0" applyNumberFormat="1" applyFont="1" applyFill="1" applyBorder="1" applyAlignment="1">
      <alignment horizontal="left"/>
    </xf>
    <xf numFmtId="0" fontId="100" fillId="0" borderId="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112" fillId="0" borderId="0" xfId="0" applyFont="1" applyFill="1" applyBorder="1" applyAlignment="1">
      <alignment horizontal="center" vertical="center"/>
    </xf>
    <xf numFmtId="0" fontId="86" fillId="0" borderId="0" xfId="0" applyFont="1" applyFill="1" applyBorder="1" applyAlignment="1">
      <alignment horizontal="center" vertical="center"/>
    </xf>
    <xf numFmtId="0" fontId="23" fillId="2" borderId="0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>
      <alignment horizontal="left"/>
    </xf>
    <xf numFmtId="0" fontId="52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right" vertical="center"/>
    </xf>
    <xf numFmtId="0" fontId="52" fillId="0" borderId="0" xfId="0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109" fillId="0" borderId="0" xfId="0" applyFont="1" applyFill="1" applyBorder="1" applyAlignment="1">
      <alignment vertical="center"/>
    </xf>
    <xf numFmtId="0" fontId="24" fillId="2" borderId="14" xfId="0" applyFont="1" applyFill="1" applyBorder="1" applyAlignment="1" applyProtection="1">
      <alignment horizontal="center" vertical="center"/>
      <protection locked="0"/>
    </xf>
    <xf numFmtId="0" fontId="60" fillId="2" borderId="4" xfId="0" applyFont="1" applyFill="1" applyBorder="1" applyAlignment="1" applyProtection="1">
      <alignment horizontal="center" vertical="center"/>
      <protection locked="0"/>
    </xf>
    <xf numFmtId="0" fontId="60" fillId="2" borderId="13" xfId="0" applyFont="1" applyFill="1" applyBorder="1" applyAlignment="1" applyProtection="1">
      <alignment horizontal="center" vertical="center"/>
      <protection locked="0"/>
    </xf>
    <xf numFmtId="0" fontId="23" fillId="3" borderId="2" xfId="0" applyFont="1" applyFill="1" applyBorder="1" applyAlignment="1" applyProtection="1">
      <alignment horizontal="center" vertical="center"/>
      <protection locked="0"/>
    </xf>
    <xf numFmtId="0" fontId="112" fillId="2" borderId="2" xfId="0" applyFont="1" applyFill="1" applyBorder="1" applyAlignment="1" applyProtection="1">
      <alignment horizontal="center" vertical="center"/>
      <protection locked="0"/>
    </xf>
    <xf numFmtId="0" fontId="24" fillId="2" borderId="13" xfId="0" applyFont="1" applyFill="1" applyBorder="1" applyAlignment="1" applyProtection="1">
      <alignment horizontal="center" vertical="center"/>
      <protection locked="0"/>
    </xf>
    <xf numFmtId="0" fontId="24" fillId="2" borderId="2" xfId="0" applyFont="1" applyFill="1" applyBorder="1" applyAlignment="1" applyProtection="1">
      <alignment horizontal="center" vertical="center"/>
      <protection locked="0"/>
    </xf>
    <xf numFmtId="0" fontId="81" fillId="2" borderId="2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61" fillId="2" borderId="15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0" fontId="6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60" fillId="0" borderId="0" xfId="0" applyNumberFormat="1" applyFont="1" applyFill="1" applyAlignment="1" applyProtection="1" quotePrefix="1">
      <alignment horizontal="center" vertical="center"/>
      <protection/>
    </xf>
    <xf numFmtId="0" fontId="101" fillId="0" borderId="0" xfId="0" applyFont="1" applyAlignment="1" applyProtection="1" quotePrefix="1">
      <alignment horizontal="center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101" fillId="0" borderId="0" xfId="0" applyNumberFormat="1" applyFont="1" applyAlignment="1" applyProtection="1" quotePrefix="1">
      <alignment horizontal="center" vertical="center"/>
      <protection/>
    </xf>
    <xf numFmtId="0" fontId="64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03" fillId="0" borderId="0" xfId="0" applyFont="1" applyFill="1" applyBorder="1" applyAlignment="1" applyProtection="1">
      <alignment horizontal="center" vertical="center"/>
      <protection/>
    </xf>
    <xf numFmtId="0" fontId="59" fillId="0" borderId="0" xfId="0" applyFont="1" applyFill="1" applyBorder="1" applyAlignment="1" applyProtection="1">
      <alignment horizontal="left" vertical="center"/>
      <protection/>
    </xf>
    <xf numFmtId="0" fontId="104" fillId="0" borderId="0" xfId="0" applyFont="1" applyFill="1" applyAlignment="1" applyProtection="1" quotePrefix="1">
      <alignment horizontal="center" vertical="center"/>
      <protection/>
    </xf>
    <xf numFmtId="0" fontId="54" fillId="2" borderId="13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hidden="1"/>
    </xf>
    <xf numFmtId="0" fontId="0" fillId="4" borderId="16" xfId="0" applyFill="1" applyBorder="1" applyAlignment="1" applyProtection="1">
      <alignment/>
      <protection hidden="1"/>
    </xf>
    <xf numFmtId="0" fontId="20" fillId="4" borderId="4" xfId="0" applyFont="1" applyFill="1" applyBorder="1" applyAlignment="1" applyProtection="1">
      <alignment/>
      <protection hidden="1"/>
    </xf>
    <xf numFmtId="0" fontId="0" fillId="4" borderId="4" xfId="0" applyFill="1" applyBorder="1" applyAlignment="1" applyProtection="1">
      <alignment/>
      <protection hidden="1"/>
    </xf>
    <xf numFmtId="0" fontId="0" fillId="4" borderId="13" xfId="0" applyFill="1" applyBorder="1" applyAlignment="1" applyProtection="1">
      <alignment/>
      <protection hidden="1"/>
    </xf>
    <xf numFmtId="0" fontId="22" fillId="4" borderId="2" xfId="0" applyFont="1" applyFill="1" applyBorder="1" applyAlignment="1" applyProtection="1">
      <alignment horizontal="center"/>
      <protection hidden="1"/>
    </xf>
    <xf numFmtId="0" fontId="0" fillId="4" borderId="0" xfId="0" applyFill="1" applyAlignment="1" applyProtection="1">
      <alignment/>
      <protection hidden="1"/>
    </xf>
    <xf numFmtId="0" fontId="0" fillId="4" borderId="16" xfId="0" applyFill="1" applyBorder="1" applyAlignment="1" applyProtection="1">
      <alignment horizontal="center"/>
      <protection hidden="1"/>
    </xf>
    <xf numFmtId="0" fontId="7" fillId="4" borderId="0" xfId="0" applyFont="1" applyFill="1" applyAlignment="1" applyProtection="1">
      <alignment horizontal="center"/>
      <protection hidden="1"/>
    </xf>
    <xf numFmtId="0" fontId="58" fillId="4" borderId="2" xfId="0" applyFont="1" applyFill="1" applyBorder="1" applyAlignment="1" applyProtection="1">
      <alignment horizontal="center"/>
      <protection hidden="1"/>
    </xf>
    <xf numFmtId="0" fontId="8" fillId="3" borderId="3" xfId="0" applyFont="1" applyFill="1" applyBorder="1" applyAlignment="1" applyProtection="1">
      <alignment horizontal="center"/>
      <protection hidden="1"/>
    </xf>
    <xf numFmtId="0" fontId="0" fillId="4" borderId="3" xfId="0" applyFill="1" applyBorder="1" applyAlignment="1" applyProtection="1">
      <alignment horizontal="center"/>
      <protection hidden="1"/>
    </xf>
    <xf numFmtId="0" fontId="8" fillId="3" borderId="2" xfId="0" applyFont="1" applyFill="1" applyBorder="1" applyAlignment="1" applyProtection="1">
      <alignment horizontal="center"/>
      <protection hidden="1"/>
    </xf>
    <xf numFmtId="0" fontId="5" fillId="4" borderId="12" xfId="0" applyFont="1" applyFill="1" applyBorder="1" applyAlignment="1" applyProtection="1">
      <alignment horizontal="center"/>
      <protection hidden="1"/>
    </xf>
    <xf numFmtId="0" fontId="10" fillId="3" borderId="12" xfId="0" applyFont="1" applyFill="1" applyBorder="1" applyAlignment="1" applyProtection="1">
      <alignment horizontal="center"/>
      <protection hidden="1"/>
    </xf>
    <xf numFmtId="0" fontId="5" fillId="4" borderId="5" xfId="0" applyFont="1" applyFill="1" applyBorder="1" applyAlignment="1" applyProtection="1">
      <alignment horizontal="center"/>
      <protection hidden="1"/>
    </xf>
    <xf numFmtId="0" fontId="12" fillId="4" borderId="3" xfId="0" applyFont="1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0" fontId="9" fillId="0" borderId="0" xfId="0" applyFont="1" applyAlignment="1" applyProtection="1">
      <alignment/>
      <protection hidden="1"/>
    </xf>
    <xf numFmtId="0" fontId="9" fillId="0" borderId="0" xfId="0" applyFont="1" applyBorder="1" applyAlignment="1" applyProtection="1">
      <alignment/>
      <protection hidden="1"/>
    </xf>
    <xf numFmtId="0" fontId="23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hidden="1"/>
    </xf>
    <xf numFmtId="0" fontId="58" fillId="4" borderId="3" xfId="0" applyFont="1" applyFill="1" applyBorder="1" applyAlignment="1" applyProtection="1">
      <alignment horizontal="center"/>
      <protection hidden="1"/>
    </xf>
    <xf numFmtId="0" fontId="9" fillId="4" borderId="17" xfId="0" applyFont="1" applyFill="1" applyBorder="1" applyAlignment="1" applyProtection="1">
      <alignment horizontal="center"/>
      <protection hidden="1"/>
    </xf>
    <xf numFmtId="0" fontId="23" fillId="2" borderId="10" xfId="0" applyFont="1" applyFill="1" applyBorder="1" applyAlignment="1" applyProtection="1">
      <alignment horizontal="center"/>
      <protection locked="0"/>
    </xf>
    <xf numFmtId="0" fontId="23" fillId="2" borderId="18" xfId="0" applyFont="1" applyFill="1" applyBorder="1" applyAlignment="1" applyProtection="1">
      <alignment horizontal="center"/>
      <protection locked="0"/>
    </xf>
    <xf numFmtId="0" fontId="23" fillId="2" borderId="19" xfId="0" applyFont="1" applyFill="1" applyBorder="1" applyAlignment="1" applyProtection="1">
      <alignment horizontal="center"/>
      <protection locked="0"/>
    </xf>
    <xf numFmtId="0" fontId="23" fillId="2" borderId="20" xfId="0" applyFont="1" applyFill="1" applyBorder="1" applyAlignment="1" applyProtection="1">
      <alignment horizontal="center"/>
      <protection locked="0"/>
    </xf>
    <xf numFmtId="0" fontId="23" fillId="2" borderId="11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hidden="1"/>
    </xf>
    <xf numFmtId="0" fontId="0" fillId="4" borderId="0" xfId="0" applyFill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/>
      <protection hidden="1"/>
    </xf>
    <xf numFmtId="0" fontId="40" fillId="4" borderId="3" xfId="0" applyFont="1" applyFill="1" applyBorder="1" applyAlignment="1" applyProtection="1">
      <alignment horizontal="center"/>
      <protection hidden="1"/>
    </xf>
    <xf numFmtId="0" fontId="40" fillId="4" borderId="2" xfId="0" applyFont="1" applyFill="1" applyBorder="1" applyAlignment="1" applyProtection="1">
      <alignment horizontal="center"/>
      <protection hidden="1"/>
    </xf>
    <xf numFmtId="0" fontId="40" fillId="0" borderId="0" xfId="0" applyFont="1" applyFill="1" applyBorder="1" applyAlignment="1" applyProtection="1">
      <alignment horizontal="center"/>
      <protection hidden="1"/>
    </xf>
    <xf numFmtId="0" fontId="22" fillId="4" borderId="2" xfId="0" applyFont="1" applyFill="1" applyBorder="1" applyAlignment="1" applyProtection="1">
      <alignment horizontal="center"/>
      <protection hidden="1"/>
    </xf>
    <xf numFmtId="0" fontId="9" fillId="0" borderId="0" xfId="0" applyFont="1" applyBorder="1" applyAlignment="1" applyProtection="1">
      <alignment horizontal="center"/>
      <protection hidden="1"/>
    </xf>
    <xf numFmtId="0" fontId="100" fillId="5" borderId="0" xfId="0" applyFont="1" applyFill="1" applyBorder="1" applyAlignment="1" applyProtection="1">
      <alignment horizontal="center" vertical="center"/>
      <protection hidden="1"/>
    </xf>
    <xf numFmtId="0" fontId="100" fillId="5" borderId="0" xfId="0" applyFont="1" applyFill="1" applyBorder="1" applyAlignment="1" applyProtection="1">
      <alignment horizontal="left" vertical="center"/>
      <protection hidden="1"/>
    </xf>
    <xf numFmtId="0" fontId="105" fillId="5" borderId="0" xfId="0" applyFont="1" applyFill="1" applyBorder="1" applyAlignment="1" applyProtection="1">
      <alignment vertical="center"/>
      <protection hidden="1"/>
    </xf>
    <xf numFmtId="0" fontId="58" fillId="5" borderId="0" xfId="0" applyFont="1" applyFill="1" applyBorder="1" applyAlignment="1" applyProtection="1">
      <alignment horizontal="center" vertical="center"/>
      <protection hidden="1"/>
    </xf>
    <xf numFmtId="0" fontId="90" fillId="5" borderId="0" xfId="0" applyFont="1" applyFill="1" applyBorder="1" applyAlignment="1" applyProtection="1">
      <alignment vertical="center"/>
      <protection hidden="1"/>
    </xf>
    <xf numFmtId="0" fontId="80" fillId="5" borderId="0" xfId="0" applyFont="1" applyFill="1" applyBorder="1" applyAlignment="1" applyProtection="1">
      <alignment/>
      <protection hidden="1"/>
    </xf>
    <xf numFmtId="0" fontId="86" fillId="4" borderId="16" xfId="0" applyFont="1" applyFill="1" applyBorder="1" applyAlignment="1" applyProtection="1">
      <alignment horizontal="left" vertical="center"/>
      <protection hidden="1"/>
    </xf>
    <xf numFmtId="0" fontId="7" fillId="4" borderId="4" xfId="0" applyFont="1" applyFill="1" applyBorder="1" applyAlignment="1" applyProtection="1">
      <alignment vertical="center"/>
      <protection hidden="1"/>
    </xf>
    <xf numFmtId="0" fontId="7" fillId="4" borderId="13" xfId="0" applyFont="1" applyFill="1" applyBorder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86" fillId="4" borderId="16" xfId="0" applyFont="1" applyFill="1" applyBorder="1" applyAlignment="1" applyProtection="1">
      <alignment vertical="center"/>
      <protection hidden="1"/>
    </xf>
    <xf numFmtId="0" fontId="0" fillId="4" borderId="4" xfId="0" applyFill="1" applyBorder="1" applyAlignment="1" applyProtection="1">
      <alignment vertical="center"/>
      <protection hidden="1"/>
    </xf>
    <xf numFmtId="0" fontId="0" fillId="4" borderId="13" xfId="0" applyFill="1" applyBorder="1" applyAlignment="1" applyProtection="1">
      <alignment vertical="center"/>
      <protection hidden="1"/>
    </xf>
    <xf numFmtId="0" fontId="31" fillId="4" borderId="12" xfId="0" applyFont="1" applyFill="1" applyBorder="1" applyAlignment="1" applyProtection="1">
      <alignment horizontal="center" vertical="center"/>
      <protection hidden="1"/>
    </xf>
    <xf numFmtId="0" fontId="58" fillId="3" borderId="2" xfId="0" applyFont="1" applyFill="1" applyBorder="1" applyAlignment="1" applyProtection="1">
      <alignment horizontal="center" vertical="center"/>
      <protection hidden="1"/>
    </xf>
    <xf numFmtId="0" fontId="64" fillId="0" borderId="0" xfId="0" applyFont="1" applyBorder="1" applyAlignment="1" applyProtection="1">
      <alignment vertical="center"/>
      <protection hidden="1"/>
    </xf>
    <xf numFmtId="0" fontId="86" fillId="4" borderId="1" xfId="0" applyFont="1" applyFill="1" applyBorder="1" applyAlignment="1" applyProtection="1">
      <alignment horizontal="left" vertical="center"/>
      <protection hidden="1"/>
    </xf>
    <xf numFmtId="0" fontId="28" fillId="4" borderId="21" xfId="0" applyFont="1" applyFill="1" applyBorder="1" applyAlignment="1" applyProtection="1">
      <alignment vertical="center"/>
      <protection hidden="1"/>
    </xf>
    <xf numFmtId="0" fontId="27" fillId="4" borderId="21" xfId="0" applyFont="1" applyFill="1" applyBorder="1" applyAlignment="1" applyProtection="1">
      <alignment vertical="center"/>
      <protection hidden="1"/>
    </xf>
    <xf numFmtId="0" fontId="76" fillId="4" borderId="14" xfId="0" applyFont="1" applyFill="1" applyBorder="1" applyAlignment="1" applyProtection="1">
      <alignment horizontal="center" vertical="center"/>
      <protection hidden="1"/>
    </xf>
    <xf numFmtId="0" fontId="28" fillId="4" borderId="4" xfId="0" applyFont="1" applyFill="1" applyBorder="1" applyAlignment="1" applyProtection="1">
      <alignment vertical="center"/>
      <protection hidden="1"/>
    </xf>
    <xf numFmtId="0" fontId="27" fillId="4" borderId="4" xfId="0" applyFont="1" applyFill="1" applyBorder="1" applyAlignment="1" applyProtection="1">
      <alignment vertical="center"/>
      <protection hidden="1"/>
    </xf>
    <xf numFmtId="0" fontId="8" fillId="4" borderId="13" xfId="0" applyFont="1" applyFill="1" applyBorder="1" applyAlignment="1" applyProtection="1">
      <alignment horizontal="right"/>
      <protection hidden="1"/>
    </xf>
    <xf numFmtId="0" fontId="31" fillId="4" borderId="2" xfId="0" applyFont="1" applyFill="1" applyBorder="1" applyAlignment="1" applyProtection="1">
      <alignment horizontal="center"/>
      <protection hidden="1"/>
    </xf>
    <xf numFmtId="0" fontId="66" fillId="3" borderId="2" xfId="0" applyFont="1" applyFill="1" applyBorder="1" applyAlignment="1" applyProtection="1">
      <alignment horizontal="center"/>
      <protection hidden="1"/>
    </xf>
    <xf numFmtId="0" fontId="7" fillId="4" borderId="21" xfId="0" applyFont="1" applyFill="1" applyBorder="1" applyAlignment="1" applyProtection="1">
      <alignment vertical="center"/>
      <protection hidden="1"/>
    </xf>
    <xf numFmtId="0" fontId="7" fillId="4" borderId="13" xfId="0" applyFont="1" applyFill="1" applyBorder="1" applyAlignment="1" applyProtection="1">
      <alignment horizontal="right" vertical="center"/>
      <protection hidden="1"/>
    </xf>
    <xf numFmtId="0" fontId="80" fillId="3" borderId="2" xfId="0" applyFont="1" applyFill="1" applyBorder="1" applyAlignment="1" applyProtection="1">
      <alignment horizontal="center" vertical="center"/>
      <protection hidden="1"/>
    </xf>
    <xf numFmtId="0" fontId="28" fillId="4" borderId="22" xfId="0" applyFont="1" applyFill="1" applyBorder="1" applyAlignment="1" applyProtection="1">
      <alignment vertical="center"/>
      <protection hidden="1"/>
    </xf>
    <xf numFmtId="0" fontId="27" fillId="4" borderId="22" xfId="0" applyFont="1" applyFill="1" applyBorder="1" applyAlignment="1" applyProtection="1">
      <alignment vertical="center"/>
      <protection hidden="1"/>
    </xf>
    <xf numFmtId="0" fontId="7" fillId="4" borderId="8" xfId="0" applyFont="1" applyFill="1" applyBorder="1" applyAlignment="1" applyProtection="1">
      <alignment horizontal="right" vertical="center"/>
      <protection hidden="1"/>
    </xf>
    <xf numFmtId="0" fontId="28" fillId="4" borderId="0" xfId="0" applyFont="1" applyFill="1" applyBorder="1" applyAlignment="1" applyProtection="1">
      <alignment vertical="center"/>
      <protection hidden="1"/>
    </xf>
    <xf numFmtId="0" fontId="27" fillId="4" borderId="0" xfId="0" applyFont="1" applyFill="1" applyBorder="1" applyAlignment="1" applyProtection="1">
      <alignment vertical="center"/>
      <protection hidden="1"/>
    </xf>
    <xf numFmtId="0" fontId="23" fillId="2" borderId="13" xfId="0" applyFont="1" applyFill="1" applyBorder="1" applyAlignment="1" applyProtection="1">
      <alignment horizontal="center" vertical="center"/>
      <protection hidden="1"/>
    </xf>
    <xf numFmtId="0" fontId="58" fillId="3" borderId="2" xfId="0" applyFont="1" applyFill="1" applyBorder="1" applyAlignment="1" applyProtection="1" quotePrefix="1">
      <alignment horizontal="center" vertical="center"/>
      <protection hidden="1"/>
    </xf>
    <xf numFmtId="0" fontId="8" fillId="4" borderId="23" xfId="0" applyFont="1" applyFill="1" applyBorder="1" applyAlignment="1" applyProtection="1">
      <alignment horizontal="right" vertical="center"/>
      <protection hidden="1"/>
    </xf>
    <xf numFmtId="0" fontId="8" fillId="4" borderId="13" xfId="0" applyFont="1" applyFill="1" applyBorder="1" applyAlignment="1" applyProtection="1">
      <alignment horizontal="right" vertical="center"/>
      <protection hidden="1"/>
    </xf>
    <xf numFmtId="0" fontId="8" fillId="4" borderId="8" xfId="0" applyFont="1" applyFill="1" applyBorder="1" applyAlignment="1" applyProtection="1">
      <alignment horizontal="right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74" fillId="0" borderId="0" xfId="0" applyFont="1" applyAlignment="1" applyProtection="1">
      <alignment vertical="center"/>
      <protection hidden="1"/>
    </xf>
    <xf numFmtId="0" fontId="8" fillId="4" borderId="22" xfId="0" applyFont="1" applyFill="1" applyBorder="1" applyAlignment="1" applyProtection="1">
      <alignment horizontal="right" vertical="center"/>
      <protection hidden="1"/>
    </xf>
    <xf numFmtId="0" fontId="22" fillId="4" borderId="2" xfId="0" applyFont="1" applyFill="1" applyBorder="1" applyAlignment="1" applyProtection="1">
      <alignment horizontal="center" vertical="center"/>
      <protection hidden="1"/>
    </xf>
    <xf numFmtId="0" fontId="58" fillId="3" borderId="2" xfId="0" applyNumberFormat="1" applyFont="1" applyFill="1" applyBorder="1" applyAlignment="1" applyProtection="1" quotePrefix="1">
      <alignment horizontal="center" vertical="center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58" fillId="3" borderId="2" xfId="0" applyNumberFormat="1" applyFont="1" applyFill="1" applyBorder="1" applyAlignment="1" applyProtection="1">
      <alignment horizontal="center" vertical="center"/>
      <protection hidden="1"/>
    </xf>
    <xf numFmtId="0" fontId="76" fillId="4" borderId="8" xfId="0" applyFont="1" applyFill="1" applyBorder="1" applyAlignment="1" applyProtection="1">
      <alignment horizontal="center" vertical="center"/>
      <protection hidden="1"/>
    </xf>
    <xf numFmtId="0" fontId="7" fillId="4" borderId="22" xfId="0" applyFont="1" applyFill="1" applyBorder="1" applyAlignment="1" applyProtection="1">
      <alignment vertical="center"/>
      <protection hidden="1"/>
    </xf>
    <xf numFmtId="0" fontId="102" fillId="4" borderId="13" xfId="0" applyFont="1" applyFill="1" applyBorder="1" applyAlignment="1" applyProtection="1">
      <alignment horizontal="center" vertical="center"/>
      <protection hidden="1"/>
    </xf>
    <xf numFmtId="0" fontId="58" fillId="3" borderId="2" xfId="0" applyFont="1" applyFill="1" applyBorder="1" applyAlignment="1" applyProtection="1">
      <alignment horizontal="center"/>
      <protection hidden="1"/>
    </xf>
    <xf numFmtId="0" fontId="1" fillId="4" borderId="0" xfId="0" applyFont="1" applyFill="1" applyBorder="1" applyAlignment="1" applyProtection="1">
      <alignment vertical="center"/>
      <protection hidden="1"/>
    </xf>
    <xf numFmtId="0" fontId="0" fillId="4" borderId="0" xfId="0" applyFill="1" applyBorder="1" applyAlignment="1" applyProtection="1">
      <alignment vertical="center"/>
      <protection hidden="1"/>
    </xf>
    <xf numFmtId="0" fontId="8" fillId="4" borderId="14" xfId="0" applyFont="1" applyFill="1" applyBorder="1" applyAlignment="1" applyProtection="1">
      <alignment horizontal="right" vertical="center"/>
      <protection hidden="1"/>
    </xf>
    <xf numFmtId="0" fontId="106" fillId="0" borderId="0" xfId="0" applyFont="1" applyFill="1" applyBorder="1" applyAlignment="1" applyProtection="1">
      <alignment horizontal="center" vertical="center"/>
      <protection hidden="1"/>
    </xf>
    <xf numFmtId="0" fontId="7" fillId="4" borderId="14" xfId="0" applyFont="1" applyFill="1" applyBorder="1" applyAlignment="1" applyProtection="1">
      <alignment horizontal="right"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7" fillId="4" borderId="0" xfId="0" applyFont="1" applyFill="1" applyBorder="1" applyAlignment="1" applyProtection="1">
      <alignment vertical="center"/>
      <protection hidden="1"/>
    </xf>
    <xf numFmtId="0" fontId="7" fillId="4" borderId="23" xfId="0" applyFont="1" applyFill="1" applyBorder="1" applyAlignment="1" applyProtection="1">
      <alignment horizontal="right" vertical="center"/>
      <protection hidden="1"/>
    </xf>
    <xf numFmtId="187" fontId="58" fillId="3" borderId="2" xfId="0" applyNumberFormat="1" applyFont="1" applyFill="1" applyBorder="1" applyAlignment="1" applyProtection="1">
      <alignment horizontal="center" vertical="center"/>
      <protection hidden="1"/>
    </xf>
    <xf numFmtId="0" fontId="11" fillId="0" borderId="0" xfId="0" applyNumberFormat="1" applyFont="1" applyBorder="1" applyAlignment="1" applyProtection="1">
      <alignment horizontal="center" vertical="center"/>
      <protection hidden="1"/>
    </xf>
    <xf numFmtId="0" fontId="0" fillId="0" borderId="0" xfId="0" applyNumberFormat="1" applyFont="1" applyBorder="1" applyAlignment="1" applyProtection="1">
      <alignment horizontal="center" vertical="center"/>
      <protection hidden="1"/>
    </xf>
    <xf numFmtId="187" fontId="0" fillId="0" borderId="0" xfId="0" applyNumberFormat="1" applyFont="1" applyBorder="1" applyAlignment="1" applyProtection="1">
      <alignment horizontal="center" vertical="center"/>
      <protection hidden="1"/>
    </xf>
    <xf numFmtId="0" fontId="7" fillId="4" borderId="21" xfId="0" applyFont="1" applyFill="1" applyBorder="1" applyAlignment="1" applyProtection="1">
      <alignment horizontal="right" vertical="center"/>
      <protection hidden="1"/>
    </xf>
    <xf numFmtId="0" fontId="7" fillId="4" borderId="0" xfId="0" applyFont="1" applyFill="1" applyBorder="1" applyAlignment="1" applyProtection="1">
      <alignment horizontal="right" vertical="center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7" fillId="4" borderId="22" xfId="0" applyFont="1" applyFill="1" applyBorder="1" applyAlignment="1" applyProtection="1">
      <alignment horizontal="right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58" fillId="6" borderId="2" xfId="0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4" borderId="21" xfId="0" applyFill="1" applyBorder="1" applyAlignment="1" applyProtection="1">
      <alignment horizontal="center" vertical="center"/>
      <protection hidden="1"/>
    </xf>
    <xf numFmtId="0" fontId="68" fillId="4" borderId="21" xfId="0" applyFont="1" applyFill="1" applyBorder="1" applyAlignment="1" applyProtection="1">
      <alignment horizontal="center" vertical="center"/>
      <protection hidden="1"/>
    </xf>
    <xf numFmtId="0" fontId="0" fillId="4" borderId="14" xfId="0" applyFill="1" applyBorder="1" applyAlignment="1" applyProtection="1">
      <alignment vertical="center"/>
      <protection hidden="1"/>
    </xf>
    <xf numFmtId="0" fontId="77" fillId="0" borderId="0" xfId="0" applyFont="1" applyFill="1" applyBorder="1" applyAlignment="1" applyProtection="1">
      <alignment horizontal="center" vertical="center"/>
      <protection hidden="1"/>
    </xf>
    <xf numFmtId="0" fontId="1" fillId="5" borderId="0" xfId="0" applyFont="1" applyFill="1" applyBorder="1" applyAlignment="1" applyProtection="1">
      <alignment vertical="center"/>
      <protection hidden="1"/>
    </xf>
    <xf numFmtId="0" fontId="0" fillId="5" borderId="0" xfId="0" applyFill="1" applyBorder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80" fillId="6" borderId="2" xfId="0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/>
      <protection hidden="1"/>
    </xf>
    <xf numFmtId="0" fontId="7" fillId="4" borderId="0" xfId="0" applyFont="1" applyFill="1" applyAlignment="1" applyProtection="1">
      <alignment/>
      <protection hidden="1"/>
    </xf>
    <xf numFmtId="0" fontId="76" fillId="4" borderId="14" xfId="0" applyFont="1" applyFill="1" applyBorder="1" applyAlignment="1" applyProtection="1">
      <alignment horizontal="center"/>
      <protection hidden="1"/>
    </xf>
    <xf numFmtId="0" fontId="8" fillId="4" borderId="14" xfId="0" applyFont="1" applyFill="1" applyBorder="1" applyAlignment="1" applyProtection="1">
      <alignment horizontal="right"/>
      <protection hidden="1"/>
    </xf>
    <xf numFmtId="0" fontId="8" fillId="4" borderId="23" xfId="0" applyFont="1" applyFill="1" applyBorder="1" applyAlignment="1" applyProtection="1">
      <alignment horizontal="right"/>
      <protection hidden="1"/>
    </xf>
    <xf numFmtId="0" fontId="7" fillId="4" borderId="21" xfId="0" applyFont="1" applyFill="1" applyBorder="1" applyAlignment="1" applyProtection="1">
      <alignment/>
      <protection hidden="1"/>
    </xf>
    <xf numFmtId="0" fontId="7" fillId="4" borderId="0" xfId="0" applyFont="1" applyFill="1" applyBorder="1" applyAlignment="1" applyProtection="1">
      <alignment/>
      <protection hidden="1"/>
    </xf>
    <xf numFmtId="0" fontId="7" fillId="4" borderId="23" xfId="0" applyFont="1" applyFill="1" applyBorder="1" applyAlignment="1" applyProtection="1">
      <alignment horizontal="right"/>
      <protection hidden="1"/>
    </xf>
    <xf numFmtId="0" fontId="7" fillId="4" borderId="22" xfId="0" applyFont="1" applyFill="1" applyBorder="1" applyAlignment="1" applyProtection="1">
      <alignment/>
      <protection hidden="1"/>
    </xf>
    <xf numFmtId="0" fontId="7" fillId="4" borderId="8" xfId="0" applyFont="1" applyFill="1" applyBorder="1" applyAlignment="1" applyProtection="1">
      <alignment horizontal="right"/>
      <protection hidden="1"/>
    </xf>
    <xf numFmtId="0" fontId="40" fillId="3" borderId="3" xfId="0" applyFont="1" applyFill="1" applyBorder="1" applyAlignment="1" applyProtection="1">
      <alignment horizontal="center" vertical="center"/>
      <protection hidden="1"/>
    </xf>
    <xf numFmtId="0" fontId="47" fillId="3" borderId="2" xfId="0" applyFont="1" applyFill="1" applyBorder="1" applyAlignment="1" applyProtection="1">
      <alignment horizontal="center" vertical="center"/>
      <protection hidden="1"/>
    </xf>
    <xf numFmtId="0" fontId="8" fillId="4" borderId="22" xfId="0" applyFont="1" applyFill="1" applyBorder="1" applyAlignment="1" applyProtection="1">
      <alignment horizontal="right"/>
      <protection hidden="1"/>
    </xf>
    <xf numFmtId="0" fontId="7" fillId="4" borderId="4" xfId="0" applyFont="1" applyFill="1" applyBorder="1" applyAlignment="1" applyProtection="1">
      <alignment/>
      <protection hidden="1"/>
    </xf>
    <xf numFmtId="0" fontId="7" fillId="4" borderId="13" xfId="0" applyFont="1" applyFill="1" applyBorder="1" applyAlignment="1" applyProtection="1">
      <alignment horizontal="right"/>
      <protection hidden="1"/>
    </xf>
    <xf numFmtId="0" fontId="39" fillId="3" borderId="2" xfId="0" applyFont="1" applyFill="1" applyBorder="1" applyAlignment="1" applyProtection="1">
      <alignment horizontal="center" vertical="center"/>
      <protection hidden="1"/>
    </xf>
    <xf numFmtId="0" fontId="32" fillId="0" borderId="0" xfId="0" applyFont="1" applyFill="1" applyBorder="1" applyAlignment="1" applyProtection="1">
      <alignment horizontal="left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77" fillId="4" borderId="0" xfId="0" applyFont="1" applyFill="1" applyBorder="1" applyAlignment="1" applyProtection="1">
      <alignment horizontal="center"/>
      <protection hidden="1"/>
    </xf>
    <xf numFmtId="0" fontId="61" fillId="4" borderId="0" xfId="0" applyFont="1" applyFill="1" applyBorder="1" applyAlignment="1" applyProtection="1">
      <alignment horizontal="center" vertical="center"/>
      <protection hidden="1"/>
    </xf>
    <xf numFmtId="0" fontId="30" fillId="3" borderId="0" xfId="0" applyFont="1" applyFill="1" applyAlignment="1" applyProtection="1">
      <alignment/>
      <protection hidden="1"/>
    </xf>
    <xf numFmtId="0" fontId="48" fillId="3" borderId="0" xfId="0" applyFont="1" applyFill="1" applyAlignment="1" applyProtection="1">
      <alignment horizontal="right"/>
      <protection hidden="1"/>
    </xf>
    <xf numFmtId="0" fontId="77" fillId="4" borderId="13" xfId="0" applyFont="1" applyFill="1" applyBorder="1" applyAlignment="1" applyProtection="1">
      <alignment horizontal="center"/>
      <protection hidden="1"/>
    </xf>
    <xf numFmtId="0" fontId="27" fillId="3" borderId="21" xfId="0" applyFont="1" applyFill="1" applyBorder="1" applyAlignment="1" applyProtection="1">
      <alignment vertical="center"/>
      <protection hidden="1"/>
    </xf>
    <xf numFmtId="0" fontId="22" fillId="3" borderId="0" xfId="0" applyFont="1" applyFill="1" applyBorder="1" applyAlignment="1" applyProtection="1">
      <alignment horizontal="center" vertical="center"/>
      <protection hidden="1"/>
    </xf>
    <xf numFmtId="0" fontId="59" fillId="4" borderId="0" xfId="0" applyFont="1" applyFill="1" applyBorder="1" applyAlignment="1" applyProtection="1">
      <alignment horizontal="center" vertical="center"/>
      <protection hidden="1"/>
    </xf>
    <xf numFmtId="0" fontId="66" fillId="3" borderId="2" xfId="0" applyFont="1" applyFill="1" applyBorder="1" applyAlignment="1" applyProtection="1">
      <alignment horizontal="center" vertical="center"/>
      <protection hidden="1"/>
    </xf>
    <xf numFmtId="0" fontId="1" fillId="3" borderId="2" xfId="0" applyFont="1" applyFill="1" applyBorder="1" applyAlignment="1" applyProtection="1">
      <alignment horizontal="center" vertical="center"/>
      <protection hidden="1"/>
    </xf>
    <xf numFmtId="0" fontId="8" fillId="3" borderId="2" xfId="0" applyFont="1" applyFill="1" applyBorder="1" applyAlignment="1" applyProtection="1">
      <alignment horizontal="center" vertical="center"/>
      <protection hidden="1"/>
    </xf>
    <xf numFmtId="0" fontId="22" fillId="3" borderId="2" xfId="0" applyFont="1" applyFill="1" applyBorder="1" applyAlignment="1" applyProtection="1">
      <alignment horizontal="center" vertical="center"/>
      <protection hidden="1"/>
    </xf>
    <xf numFmtId="0" fontId="8" fillId="3" borderId="2" xfId="0" applyNumberFormat="1" applyFont="1" applyFill="1" applyBorder="1" applyAlignment="1" applyProtection="1">
      <alignment horizontal="center" vertical="center"/>
      <protection hidden="1"/>
    </xf>
    <xf numFmtId="0" fontId="8" fillId="3" borderId="2" xfId="0" applyFont="1" applyFill="1" applyBorder="1" applyAlignment="1" applyProtection="1">
      <alignment horizontal="center"/>
      <protection hidden="1"/>
    </xf>
    <xf numFmtId="0" fontId="8" fillId="4" borderId="2" xfId="0" applyFont="1" applyFill="1" applyBorder="1" applyAlignment="1" applyProtection="1">
      <alignment horizontal="center"/>
      <protection hidden="1"/>
    </xf>
    <xf numFmtId="0" fontId="8" fillId="3" borderId="2" xfId="0" applyFont="1" applyFill="1" applyBorder="1" applyAlignment="1" applyProtection="1">
      <alignment/>
      <protection hidden="1"/>
    </xf>
    <xf numFmtId="0" fontId="7" fillId="4" borderId="13" xfId="0" applyFont="1" applyFill="1" applyBorder="1" applyAlignment="1" applyProtection="1">
      <alignment/>
      <protection hidden="1"/>
    </xf>
    <xf numFmtId="0" fontId="7" fillId="4" borderId="14" xfId="0" applyFont="1" applyFill="1" applyBorder="1" applyAlignment="1" applyProtection="1">
      <alignment/>
      <protection hidden="1"/>
    </xf>
    <xf numFmtId="0" fontId="39" fillId="4" borderId="2" xfId="0" applyFont="1" applyFill="1" applyBorder="1" applyAlignment="1" applyProtection="1">
      <alignment horizontal="center"/>
      <protection hidden="1"/>
    </xf>
    <xf numFmtId="0" fontId="39" fillId="0" borderId="0" xfId="0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/>
      <protection hidden="1"/>
    </xf>
    <xf numFmtId="0" fontId="6" fillId="0" borderId="0" xfId="0" applyFont="1" applyBorder="1" applyAlignment="1" applyProtection="1">
      <alignment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39" fillId="4" borderId="12" xfId="0" applyFont="1" applyFill="1" applyBorder="1" applyAlignment="1" applyProtection="1">
      <alignment horizontal="center"/>
      <protection hidden="1"/>
    </xf>
    <xf numFmtId="0" fontId="7" fillId="0" borderId="1" xfId="0" applyFont="1" applyBorder="1" applyAlignment="1" applyProtection="1">
      <alignment/>
      <protection hidden="1"/>
    </xf>
    <xf numFmtId="0" fontId="7" fillId="0" borderId="21" xfId="0" applyFont="1" applyBorder="1" applyAlignment="1" applyProtection="1">
      <alignment/>
      <protection hidden="1"/>
    </xf>
    <xf numFmtId="0" fontId="7" fillId="0" borderId="4" xfId="0" applyFont="1" applyBorder="1" applyAlignment="1" applyProtection="1">
      <alignment/>
      <protection hidden="1"/>
    </xf>
    <xf numFmtId="0" fontId="8" fillId="3" borderId="12" xfId="0" applyFont="1" applyFill="1" applyBorder="1" applyAlignment="1" applyProtection="1">
      <alignment horizontal="center"/>
      <protection hidden="1"/>
    </xf>
    <xf numFmtId="0" fontId="8" fillId="3" borderId="24" xfId="0" applyFont="1" applyFill="1" applyBorder="1" applyAlignment="1" applyProtection="1">
      <alignment horizontal="center"/>
      <protection hidden="1"/>
    </xf>
    <xf numFmtId="0" fontId="39" fillId="3" borderId="25" xfId="0" applyFont="1" applyFill="1" applyBorder="1" applyAlignment="1" applyProtection="1">
      <alignment horizontal="center"/>
      <protection hidden="1"/>
    </xf>
    <xf numFmtId="0" fontId="39" fillId="3" borderId="26" xfId="0" applyFont="1" applyFill="1" applyBorder="1" applyAlignment="1" applyProtection="1">
      <alignment horizontal="center"/>
      <protection hidden="1"/>
    </xf>
    <xf numFmtId="0" fontId="30" fillId="4" borderId="27" xfId="0" applyFont="1" applyFill="1" applyBorder="1" applyAlignment="1" applyProtection="1">
      <alignment horizontal="center"/>
      <protection hidden="1"/>
    </xf>
    <xf numFmtId="0" fontId="79" fillId="4" borderId="28" xfId="0" applyFont="1" applyFill="1" applyBorder="1" applyAlignment="1" applyProtection="1">
      <alignment/>
      <protection hidden="1"/>
    </xf>
    <xf numFmtId="0" fontId="7" fillId="4" borderId="28" xfId="0" applyFont="1" applyFill="1" applyBorder="1" applyAlignment="1" applyProtection="1">
      <alignment/>
      <protection hidden="1"/>
    </xf>
    <xf numFmtId="0" fontId="31" fillId="4" borderId="29" xfId="0" applyFont="1" applyFill="1" applyBorder="1" applyAlignment="1" applyProtection="1">
      <alignment horizontal="center"/>
      <protection hidden="1"/>
    </xf>
    <xf numFmtId="0" fontId="29" fillId="4" borderId="14" xfId="0" applyFont="1" applyFill="1" applyBorder="1" applyAlignment="1" applyProtection="1">
      <alignment vertical="center"/>
      <protection hidden="1"/>
    </xf>
    <xf numFmtId="0" fontId="74" fillId="0" borderId="0" xfId="0" applyFont="1" applyAlignment="1" applyProtection="1">
      <alignment/>
      <protection hidden="1"/>
    </xf>
    <xf numFmtId="0" fontId="67" fillId="4" borderId="14" xfId="0" applyFont="1" applyFill="1" applyBorder="1" applyAlignment="1" applyProtection="1">
      <alignment horizontal="center"/>
      <protection hidden="1"/>
    </xf>
    <xf numFmtId="0" fontId="29" fillId="4" borderId="23" xfId="0" applyFont="1" applyFill="1" applyBorder="1" applyAlignment="1" applyProtection="1">
      <alignment vertical="center"/>
      <protection hidden="1"/>
    </xf>
    <xf numFmtId="0" fontId="8" fillId="4" borderId="8" xfId="0" applyFont="1" applyFill="1" applyBorder="1" applyAlignment="1" applyProtection="1">
      <alignment horizontal="right"/>
      <protection hidden="1"/>
    </xf>
    <xf numFmtId="0" fontId="0" fillId="4" borderId="21" xfId="0" applyFill="1" applyBorder="1" applyAlignment="1" applyProtection="1">
      <alignment/>
      <protection hidden="1"/>
    </xf>
    <xf numFmtId="0" fontId="40" fillId="3" borderId="2" xfId="0" applyFont="1" applyFill="1" applyBorder="1" applyAlignment="1" applyProtection="1">
      <alignment horizontal="center" vertical="center"/>
      <protection hidden="1"/>
    </xf>
    <xf numFmtId="0" fontId="0" fillId="4" borderId="23" xfId="0" applyFill="1" applyBorder="1" applyAlignment="1" applyProtection="1">
      <alignment horizontal="center"/>
      <protection hidden="1"/>
    </xf>
    <xf numFmtId="0" fontId="29" fillId="4" borderId="8" xfId="0" applyFont="1" applyFill="1" applyBorder="1" applyAlignment="1" applyProtection="1">
      <alignment vertical="center"/>
      <protection hidden="1"/>
    </xf>
    <xf numFmtId="0" fontId="0" fillId="4" borderId="0" xfId="0" applyFill="1" applyAlignment="1" applyProtection="1">
      <alignment vertical="center"/>
      <protection hidden="1"/>
    </xf>
    <xf numFmtId="0" fontId="31" fillId="0" borderId="0" xfId="0" applyFont="1" applyAlignment="1" applyProtection="1">
      <alignment/>
      <protection hidden="1"/>
    </xf>
    <xf numFmtId="0" fontId="40" fillId="3" borderId="2" xfId="0" applyFont="1" applyFill="1" applyBorder="1" applyAlignment="1" applyProtection="1">
      <alignment horizontal="center"/>
      <protection hidden="1"/>
    </xf>
    <xf numFmtId="0" fontId="68" fillId="3" borderId="2" xfId="0" applyFont="1" applyFill="1" applyBorder="1" applyAlignment="1" applyProtection="1">
      <alignment horizontal="center"/>
      <protection hidden="1"/>
    </xf>
    <xf numFmtId="0" fontId="0" fillId="4" borderId="1" xfId="0" applyFill="1" applyBorder="1" applyAlignment="1" applyProtection="1">
      <alignment horizontal="center"/>
      <protection hidden="1"/>
    </xf>
    <xf numFmtId="9" fontId="66" fillId="3" borderId="12" xfId="16" applyFont="1" applyFill="1" applyBorder="1" applyAlignment="1" applyProtection="1">
      <alignment horizontal="center"/>
      <protection hidden="1"/>
    </xf>
    <xf numFmtId="9" fontId="69" fillId="3" borderId="12" xfId="16" applyFont="1" applyFill="1" applyBorder="1" applyAlignment="1" applyProtection="1">
      <alignment horizontal="center"/>
      <protection hidden="1"/>
    </xf>
    <xf numFmtId="0" fontId="66" fillId="4" borderId="30" xfId="0" applyFont="1" applyFill="1" applyBorder="1" applyAlignment="1" applyProtection="1">
      <alignment horizontal="center"/>
      <protection hidden="1"/>
    </xf>
    <xf numFmtId="0" fontId="66" fillId="4" borderId="31" xfId="0" applyFont="1" applyFill="1" applyBorder="1" applyAlignment="1" applyProtection="1">
      <alignment horizontal="center"/>
      <protection hidden="1"/>
    </xf>
    <xf numFmtId="0" fontId="71" fillId="4" borderId="32" xfId="0" applyFont="1" applyFill="1" applyBorder="1" applyAlignment="1" applyProtection="1">
      <alignment horizontal="center"/>
      <protection hidden="1"/>
    </xf>
    <xf numFmtId="0" fontId="0" fillId="4" borderId="32" xfId="0" applyFill="1" applyBorder="1" applyAlignment="1" applyProtection="1">
      <alignment/>
      <protection hidden="1"/>
    </xf>
    <xf numFmtId="0" fontId="31" fillId="4" borderId="33" xfId="0" applyFont="1" applyFill="1" applyBorder="1" applyAlignment="1" applyProtection="1">
      <alignment horizontal="center"/>
      <protection hidden="1"/>
    </xf>
    <xf numFmtId="0" fontId="66" fillId="3" borderId="34" xfId="0" applyFont="1" applyFill="1" applyBorder="1" applyAlignment="1" applyProtection="1">
      <alignment horizontal="center"/>
      <protection hidden="1"/>
    </xf>
    <xf numFmtId="0" fontId="69" fillId="3" borderId="34" xfId="0" applyFont="1" applyFill="1" applyBorder="1" applyAlignment="1" applyProtection="1">
      <alignment horizontal="center"/>
      <protection hidden="1"/>
    </xf>
    <xf numFmtId="0" fontId="72" fillId="3" borderId="35" xfId="0" applyFont="1" applyFill="1" applyBorder="1" applyAlignment="1" applyProtection="1">
      <alignment horizontal="center"/>
      <protection hidden="1"/>
    </xf>
    <xf numFmtId="0" fontId="40" fillId="3" borderId="9" xfId="0" applyFont="1" applyFill="1" applyBorder="1" applyAlignment="1" applyProtection="1">
      <alignment horizontal="center"/>
      <protection hidden="1"/>
    </xf>
    <xf numFmtId="0" fontId="73" fillId="3" borderId="3" xfId="0" applyFont="1" applyFill="1" applyBorder="1" applyAlignment="1" applyProtection="1">
      <alignment horizontal="center"/>
      <protection hidden="1"/>
    </xf>
    <xf numFmtId="0" fontId="46" fillId="3" borderId="3" xfId="0" applyFont="1" applyFill="1" applyBorder="1" applyAlignment="1" applyProtection="1">
      <alignment horizontal="center"/>
      <protection hidden="1"/>
    </xf>
    <xf numFmtId="0" fontId="40" fillId="3" borderId="3" xfId="0" applyFont="1" applyFill="1" applyBorder="1" applyAlignment="1" applyProtection="1">
      <alignment horizontal="center"/>
      <protection hidden="1"/>
    </xf>
    <xf numFmtId="0" fontId="68" fillId="3" borderId="10" xfId="0" applyFont="1" applyFill="1" applyBorder="1" applyAlignment="1" applyProtection="1">
      <alignment horizontal="center"/>
      <protection hidden="1"/>
    </xf>
    <xf numFmtId="0" fontId="31" fillId="4" borderId="36" xfId="0" applyFont="1" applyFill="1" applyBorder="1" applyAlignment="1" applyProtection="1">
      <alignment horizontal="center"/>
      <protection hidden="1"/>
    </xf>
    <xf numFmtId="0" fontId="66" fillId="3" borderId="37" xfId="0" applyFont="1" applyFill="1" applyBorder="1" applyAlignment="1" applyProtection="1">
      <alignment horizontal="center"/>
      <protection hidden="1"/>
    </xf>
    <xf numFmtId="0" fontId="69" fillId="3" borderId="37" xfId="0" applyFont="1" applyFill="1" applyBorder="1" applyAlignment="1" applyProtection="1">
      <alignment horizontal="center"/>
      <protection hidden="1"/>
    </xf>
    <xf numFmtId="0" fontId="63" fillId="3" borderId="37" xfId="0" applyFont="1" applyFill="1" applyBorder="1" applyAlignment="1" applyProtection="1">
      <alignment horizontal="center"/>
      <protection hidden="1"/>
    </xf>
    <xf numFmtId="0" fontId="0" fillId="4" borderId="6" xfId="0" applyFill="1" applyBorder="1" applyAlignment="1" applyProtection="1">
      <alignment/>
      <protection hidden="1"/>
    </xf>
    <xf numFmtId="0" fontId="0" fillId="4" borderId="38" xfId="0" applyFill="1" applyBorder="1" applyAlignment="1" applyProtection="1">
      <alignment/>
      <protection hidden="1"/>
    </xf>
    <xf numFmtId="0" fontId="31" fillId="4" borderId="1" xfId="0" applyFont="1" applyFill="1" applyBorder="1" applyAlignment="1" applyProtection="1">
      <alignment horizontal="center"/>
      <protection hidden="1"/>
    </xf>
    <xf numFmtId="0" fontId="1" fillId="3" borderId="39" xfId="0" applyFont="1" applyFill="1" applyBorder="1" applyAlignment="1" applyProtection="1">
      <alignment horizontal="center"/>
      <protection hidden="1"/>
    </xf>
    <xf numFmtId="0" fontId="70" fillId="3" borderId="12" xfId="0" applyFont="1" applyFill="1" applyBorder="1" applyAlignment="1" applyProtection="1">
      <alignment horizontal="center"/>
      <protection hidden="1"/>
    </xf>
    <xf numFmtId="0" fontId="44" fillId="3" borderId="12" xfId="0" applyFont="1" applyFill="1" applyBorder="1" applyAlignment="1" applyProtection="1">
      <alignment horizontal="center"/>
      <protection hidden="1"/>
    </xf>
    <xf numFmtId="0" fontId="66" fillId="3" borderId="12" xfId="0" applyFont="1" applyFill="1" applyBorder="1" applyAlignment="1" applyProtection="1">
      <alignment horizontal="center"/>
      <protection hidden="1"/>
    </xf>
    <xf numFmtId="0" fontId="69" fillId="3" borderId="40" xfId="0" applyFont="1" applyFill="1" applyBorder="1" applyAlignment="1" applyProtection="1">
      <alignment horizontal="center"/>
      <protection hidden="1"/>
    </xf>
    <xf numFmtId="0" fontId="31" fillId="4" borderId="17" xfId="0" applyFont="1" applyFill="1" applyBorder="1" applyAlignment="1" applyProtection="1">
      <alignment horizontal="center"/>
      <protection hidden="1"/>
    </xf>
    <xf numFmtId="0" fontId="66" fillId="3" borderId="35" xfId="0" applyFont="1" applyFill="1" applyBorder="1" applyAlignment="1" applyProtection="1">
      <alignment horizontal="center"/>
      <protection hidden="1"/>
    </xf>
    <xf numFmtId="0" fontId="69" fillId="3" borderId="35" xfId="0" applyFont="1" applyFill="1" applyBorder="1" applyAlignment="1" applyProtection="1">
      <alignment horizontal="center"/>
      <protection hidden="1"/>
    </xf>
    <xf numFmtId="0" fontId="0" fillId="3" borderId="17" xfId="0" applyFill="1" applyBorder="1" applyAlignment="1" applyProtection="1">
      <alignment horizontal="center"/>
      <protection hidden="1"/>
    </xf>
    <xf numFmtId="0" fontId="0" fillId="3" borderId="35" xfId="0" applyFont="1" applyFill="1" applyBorder="1" applyAlignment="1" applyProtection="1">
      <alignment horizontal="center"/>
      <protection hidden="1"/>
    </xf>
    <xf numFmtId="0" fontId="31" fillId="4" borderId="7" xfId="0" applyFont="1" applyFill="1" applyBorder="1" applyAlignment="1" applyProtection="1">
      <alignment horizontal="center"/>
      <protection hidden="1"/>
    </xf>
    <xf numFmtId="0" fontId="1" fillId="3" borderId="41" xfId="0" applyFont="1" applyFill="1" applyBorder="1" applyAlignment="1" applyProtection="1">
      <alignment horizontal="center"/>
      <protection hidden="1"/>
    </xf>
    <xf numFmtId="0" fontId="70" fillId="3" borderId="5" xfId="0" applyFont="1" applyFill="1" applyBorder="1" applyAlignment="1" applyProtection="1">
      <alignment horizontal="center"/>
      <protection hidden="1"/>
    </xf>
    <xf numFmtId="0" fontId="44" fillId="3" borderId="5" xfId="0" applyFont="1" applyFill="1" applyBorder="1" applyAlignment="1" applyProtection="1">
      <alignment horizontal="center"/>
      <protection hidden="1"/>
    </xf>
    <xf numFmtId="0" fontId="66" fillId="3" borderId="5" xfId="0" applyFont="1" applyFill="1" applyBorder="1" applyAlignment="1" applyProtection="1">
      <alignment horizontal="center"/>
      <protection hidden="1"/>
    </xf>
    <xf numFmtId="0" fontId="69" fillId="3" borderId="42" xfId="0" applyFont="1" applyFill="1" applyBorder="1" applyAlignment="1" applyProtection="1">
      <alignment horizontal="center"/>
      <protection hidden="1"/>
    </xf>
    <xf numFmtId="0" fontId="31" fillId="4" borderId="6" xfId="0" applyFont="1" applyFill="1" applyBorder="1" applyAlignment="1" applyProtection="1">
      <alignment horizontal="center"/>
      <protection hidden="1"/>
    </xf>
    <xf numFmtId="0" fontId="1" fillId="3" borderId="9" xfId="0" applyFont="1" applyFill="1" applyBorder="1" applyAlignment="1" applyProtection="1">
      <alignment horizontal="center"/>
      <protection hidden="1"/>
    </xf>
    <xf numFmtId="0" fontId="70" fillId="3" borderId="3" xfId="0" applyFont="1" applyFill="1" applyBorder="1" applyAlignment="1" applyProtection="1">
      <alignment horizontal="center"/>
      <protection hidden="1"/>
    </xf>
    <xf numFmtId="0" fontId="44" fillId="3" borderId="3" xfId="0" applyFont="1" applyFill="1" applyBorder="1" applyAlignment="1" applyProtection="1">
      <alignment horizontal="center"/>
      <protection hidden="1"/>
    </xf>
    <xf numFmtId="0" fontId="66" fillId="3" borderId="3" xfId="0" applyFont="1" applyFill="1" applyBorder="1" applyAlignment="1" applyProtection="1">
      <alignment horizontal="center"/>
      <protection hidden="1"/>
    </xf>
    <xf numFmtId="0" fontId="69" fillId="3" borderId="10" xfId="0" applyFont="1" applyFill="1" applyBorder="1" applyAlignment="1" applyProtection="1">
      <alignment horizontal="center"/>
      <protection hidden="1"/>
    </xf>
    <xf numFmtId="0" fontId="0" fillId="3" borderId="36" xfId="0" applyFill="1" applyBorder="1" applyAlignment="1" applyProtection="1">
      <alignment horizontal="center"/>
      <protection hidden="1"/>
    </xf>
    <xf numFmtId="0" fontId="0" fillId="3" borderId="37" xfId="0" applyFont="1" applyFill="1" applyBorder="1" applyAlignment="1" applyProtection="1">
      <alignment horizontal="center"/>
      <protection hidden="1"/>
    </xf>
    <xf numFmtId="0" fontId="1" fillId="3" borderId="43" xfId="0" applyFont="1" applyFill="1" applyBorder="1" applyAlignment="1" applyProtection="1">
      <alignment horizontal="center"/>
      <protection hidden="1"/>
    </xf>
    <xf numFmtId="0" fontId="70" fillId="3" borderId="44" xfId="0" applyFont="1" applyFill="1" applyBorder="1" applyAlignment="1" applyProtection="1">
      <alignment horizontal="center"/>
      <protection hidden="1"/>
    </xf>
    <xf numFmtId="0" fontId="44" fillId="3" borderId="44" xfId="0" applyFont="1" applyFill="1" applyBorder="1" applyAlignment="1" applyProtection="1">
      <alignment horizontal="center"/>
      <protection hidden="1"/>
    </xf>
    <xf numFmtId="0" fontId="66" fillId="3" borderId="44" xfId="0" applyFont="1" applyFill="1" applyBorder="1" applyAlignment="1" applyProtection="1">
      <alignment horizontal="center"/>
      <protection hidden="1"/>
    </xf>
    <xf numFmtId="0" fontId="69" fillId="3" borderId="45" xfId="0" applyFont="1" applyFill="1" applyBorder="1" applyAlignment="1" applyProtection="1">
      <alignment horizontal="center"/>
      <protection hidden="1"/>
    </xf>
    <xf numFmtId="0" fontId="31" fillId="4" borderId="46" xfId="0" applyFont="1" applyFill="1" applyBorder="1" applyAlignment="1" applyProtection="1">
      <alignment horizontal="center"/>
      <protection hidden="1"/>
    </xf>
    <xf numFmtId="0" fontId="66" fillId="3" borderId="19" xfId="0" applyFont="1" applyFill="1" applyBorder="1" applyAlignment="1" applyProtection="1">
      <alignment horizontal="center"/>
      <protection hidden="1"/>
    </xf>
    <xf numFmtId="0" fontId="69" fillId="3" borderId="19" xfId="0" applyFont="1" applyFill="1" applyBorder="1" applyAlignment="1" applyProtection="1">
      <alignment horizontal="center"/>
      <protection hidden="1"/>
    </xf>
    <xf numFmtId="0" fontId="0" fillId="3" borderId="46" xfId="0" applyFill="1" applyBorder="1" applyAlignment="1" applyProtection="1">
      <alignment horizontal="center"/>
      <protection hidden="1"/>
    </xf>
    <xf numFmtId="0" fontId="0" fillId="3" borderId="19" xfId="0" applyFont="1" applyFill="1" applyBorder="1" applyAlignment="1" applyProtection="1">
      <alignment horizontal="center"/>
      <protection hidden="1"/>
    </xf>
    <xf numFmtId="0" fontId="68" fillId="3" borderId="6" xfId="0" applyFont="1" applyFill="1" applyBorder="1" applyAlignment="1" applyProtection="1">
      <alignment horizontal="center"/>
      <protection hidden="1"/>
    </xf>
    <xf numFmtId="0" fontId="11" fillId="4" borderId="5" xfId="0" applyFont="1" applyFill="1" applyBorder="1" applyAlignment="1" applyProtection="1">
      <alignment horizontal="center"/>
      <protection hidden="1"/>
    </xf>
    <xf numFmtId="0" fontId="69" fillId="3" borderId="5" xfId="0" applyFont="1" applyFill="1" applyBorder="1" applyAlignment="1" applyProtection="1">
      <alignment horizontal="center"/>
      <protection hidden="1"/>
    </xf>
    <xf numFmtId="0" fontId="63" fillId="3" borderId="2" xfId="0" applyFont="1" applyFill="1" applyBorder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/>
      <protection hidden="1"/>
    </xf>
    <xf numFmtId="0" fontId="11" fillId="4" borderId="3" xfId="0" applyFont="1" applyFill="1" applyBorder="1" applyAlignment="1" applyProtection="1">
      <alignment horizontal="center"/>
      <protection hidden="1"/>
    </xf>
    <xf numFmtId="0" fontId="69" fillId="3" borderId="3" xfId="0" applyFont="1" applyFill="1" applyBorder="1" applyAlignment="1" applyProtection="1">
      <alignment horizontal="center"/>
      <protection hidden="1"/>
    </xf>
    <xf numFmtId="0" fontId="63" fillId="0" borderId="0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81" fillId="2" borderId="34" xfId="0" applyNumberFormat="1" applyFont="1" applyFill="1" applyBorder="1" applyAlignment="1" applyProtection="1">
      <alignment horizontal="center" vertical="center"/>
      <protection locked="0"/>
    </xf>
    <xf numFmtId="0" fontId="80" fillId="3" borderId="3" xfId="0" applyFont="1" applyFill="1" applyBorder="1" applyAlignment="1" applyProtection="1">
      <alignment horizontal="center" vertical="center"/>
      <protection hidden="1"/>
    </xf>
    <xf numFmtId="0" fontId="12" fillId="4" borderId="12" xfId="0" applyFont="1" applyFill="1" applyBorder="1" applyAlignment="1" applyProtection="1">
      <alignment horizontal="center" vertical="center"/>
      <protection hidden="1"/>
    </xf>
    <xf numFmtId="0" fontId="39" fillId="4" borderId="0" xfId="0" applyFont="1" applyFill="1" applyBorder="1" applyAlignment="1" applyProtection="1">
      <alignment vertical="center"/>
      <protection hidden="1"/>
    </xf>
    <xf numFmtId="0" fontId="23" fillId="0" borderId="15" xfId="0" applyNumberFormat="1" applyFont="1" applyFill="1" applyBorder="1" applyAlignment="1" applyProtection="1">
      <alignment horizontal="center" vertical="center"/>
      <protection hidden="1"/>
    </xf>
    <xf numFmtId="0" fontId="1" fillId="4" borderId="12" xfId="0" applyFont="1" applyFill="1" applyBorder="1" applyAlignment="1" applyProtection="1">
      <alignment horizontal="center" vertical="center"/>
      <protection hidden="1"/>
    </xf>
    <xf numFmtId="0" fontId="0" fillId="4" borderId="39" xfId="0" applyFont="1" applyFill="1" applyBorder="1" applyAlignment="1" applyProtection="1">
      <alignment horizontal="center" vertical="center"/>
      <protection hidden="1"/>
    </xf>
    <xf numFmtId="0" fontId="0" fillId="4" borderId="40" xfId="0" applyFont="1" applyFill="1" applyBorder="1" applyAlignment="1" applyProtection="1">
      <alignment horizontal="center" vertical="center"/>
      <protection hidden="1"/>
    </xf>
    <xf numFmtId="0" fontId="89" fillId="3" borderId="3" xfId="0" applyFont="1" applyFill="1" applyBorder="1" applyAlignment="1" applyProtection="1">
      <alignment horizontal="center" vertical="center"/>
      <protection hidden="1"/>
    </xf>
    <xf numFmtId="0" fontId="88" fillId="3" borderId="10" xfId="0" applyFont="1" applyFill="1" applyBorder="1" applyAlignment="1" applyProtection="1">
      <alignment horizontal="center" vertical="center"/>
      <protection hidden="1"/>
    </xf>
    <xf numFmtId="0" fontId="0" fillId="0" borderId="35" xfId="0" applyBorder="1" applyAlignment="1" applyProtection="1">
      <alignment vertical="center"/>
      <protection hidden="1"/>
    </xf>
    <xf numFmtId="0" fontId="39" fillId="3" borderId="5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8" fillId="3" borderId="41" xfId="0" applyFont="1" applyFill="1" applyBorder="1" applyAlignment="1" applyProtection="1">
      <alignment horizontal="center" vertical="center"/>
      <protection hidden="1"/>
    </xf>
    <xf numFmtId="0" fontId="58" fillId="3" borderId="30" xfId="0" applyFont="1" applyFill="1" applyBorder="1" applyAlignment="1" applyProtection="1">
      <alignment horizontal="center" vertical="center"/>
      <protection hidden="1"/>
    </xf>
    <xf numFmtId="0" fontId="46" fillId="3" borderId="30" xfId="0" applyFont="1" applyFill="1" applyBorder="1" applyAlignment="1" applyProtection="1">
      <alignment horizontal="center" vertical="center"/>
      <protection hidden="1"/>
    </xf>
    <xf numFmtId="0" fontId="58" fillId="3" borderId="31" xfId="0" applyFont="1" applyFill="1" applyBorder="1" applyAlignment="1" applyProtection="1">
      <alignment horizontal="center" vertical="center"/>
      <protection hidden="1"/>
    </xf>
    <xf numFmtId="0" fontId="46" fillId="3" borderId="20" xfId="0" applyFont="1" applyFill="1" applyBorder="1" applyAlignment="1" applyProtection="1">
      <alignment horizontal="center" vertical="center"/>
      <protection hidden="1"/>
    </xf>
    <xf numFmtId="0" fontId="8" fillId="3" borderId="47" xfId="0" applyFont="1" applyFill="1" applyBorder="1" applyAlignment="1" applyProtection="1">
      <alignment horizontal="center" vertical="center"/>
      <protection hidden="1"/>
    </xf>
    <xf numFmtId="0" fontId="46" fillId="3" borderId="47" xfId="0" applyFont="1" applyFill="1" applyBorder="1" applyAlignment="1" applyProtection="1">
      <alignment horizontal="center" vertical="center"/>
      <protection hidden="1"/>
    </xf>
    <xf numFmtId="0" fontId="8" fillId="3" borderId="48" xfId="0" applyFont="1" applyFill="1" applyBorder="1" applyAlignment="1" applyProtection="1">
      <alignment horizontal="center" vertical="center"/>
      <protection hidden="1"/>
    </xf>
    <xf numFmtId="0" fontId="46" fillId="3" borderId="49" xfId="0" applyFont="1" applyFill="1" applyBorder="1" applyAlignment="1" applyProtection="1">
      <alignment horizontal="center" vertical="center"/>
      <protection hidden="1"/>
    </xf>
    <xf numFmtId="0" fontId="10" fillId="3" borderId="0" xfId="0" applyFont="1" applyFill="1" applyBorder="1" applyAlignment="1" applyProtection="1">
      <alignment horizontal="center" vertical="center"/>
      <protection hidden="1"/>
    </xf>
    <xf numFmtId="0" fontId="10" fillId="3" borderId="35" xfId="0" applyFont="1" applyFill="1" applyBorder="1" applyAlignment="1" applyProtection="1">
      <alignment horizontal="center" vertical="center"/>
      <protection hidden="1"/>
    </xf>
    <xf numFmtId="0" fontId="10" fillId="3" borderId="22" xfId="0" applyFont="1" applyFill="1" applyBorder="1" applyAlignment="1" applyProtection="1">
      <alignment horizontal="center" vertical="center"/>
      <protection hidden="1"/>
    </xf>
    <xf numFmtId="0" fontId="10" fillId="3" borderId="37" xfId="0" applyFont="1" applyFill="1" applyBorder="1" applyAlignment="1" applyProtection="1">
      <alignment horizontal="center" vertical="center"/>
      <protection hidden="1"/>
    </xf>
    <xf numFmtId="0" fontId="39" fillId="4" borderId="36" xfId="0" applyFont="1" applyFill="1" applyBorder="1" applyAlignment="1" applyProtection="1">
      <alignment horizontal="center" vertical="center"/>
      <protection hidden="1"/>
    </xf>
    <xf numFmtId="0" fontId="39" fillId="4" borderId="22" xfId="0" applyFont="1" applyFill="1" applyBorder="1" applyAlignment="1" applyProtection="1">
      <alignment horizontal="center" vertical="center"/>
      <protection hidden="1"/>
    </xf>
    <xf numFmtId="0" fontId="39" fillId="4" borderId="37" xfId="0" applyFont="1" applyFill="1" applyBorder="1" applyAlignment="1" applyProtection="1">
      <alignment horizontal="center" vertical="center"/>
      <protection hidden="1"/>
    </xf>
    <xf numFmtId="0" fontId="39" fillId="4" borderId="38" xfId="0" applyFont="1" applyFill="1" applyBorder="1" applyAlignment="1" applyProtection="1">
      <alignment horizontal="center" vertical="center"/>
      <protection hidden="1"/>
    </xf>
    <xf numFmtId="0" fontId="39" fillId="4" borderId="4" xfId="0" applyFont="1" applyFill="1" applyBorder="1" applyAlignment="1" applyProtection="1">
      <alignment horizontal="center" vertical="center"/>
      <protection hidden="1"/>
    </xf>
    <xf numFmtId="0" fontId="39" fillId="4" borderId="50" xfId="0" applyFont="1" applyFill="1" applyBorder="1" applyAlignment="1" applyProtection="1">
      <alignment horizontal="center" vertical="center"/>
      <protection hidden="1"/>
    </xf>
    <xf numFmtId="0" fontId="40" fillId="3" borderId="11" xfId="0" applyFont="1" applyFill="1" applyBorder="1" applyAlignment="1" applyProtection="1">
      <alignment horizontal="center" vertical="center"/>
      <protection hidden="1"/>
    </xf>
    <xf numFmtId="0" fontId="0" fillId="0" borderId="17" xfId="0" applyBorder="1" applyAlignment="1" applyProtection="1">
      <alignment vertical="center"/>
      <protection hidden="1"/>
    </xf>
    <xf numFmtId="0" fontId="6" fillId="4" borderId="0" xfId="0" applyFont="1" applyFill="1" applyBorder="1" applyAlignment="1" applyProtection="1">
      <alignment vertical="center"/>
      <protection hidden="1"/>
    </xf>
    <xf numFmtId="0" fontId="10" fillId="3" borderId="12" xfId="0" applyFont="1" applyFill="1" applyBorder="1" applyAlignment="1" applyProtection="1">
      <alignment horizontal="center" vertical="center"/>
      <protection hidden="1"/>
    </xf>
    <xf numFmtId="0" fontId="9" fillId="4" borderId="14" xfId="0" applyFont="1" applyFill="1" applyBorder="1" applyAlignment="1" applyProtection="1">
      <alignment horizontal="center" vertical="center"/>
      <protection hidden="1"/>
    </xf>
    <xf numFmtId="0" fontId="22" fillId="3" borderId="14" xfId="0" applyFont="1" applyFill="1" applyBorder="1" applyAlignment="1" applyProtection="1">
      <alignment horizontal="center" vertical="center"/>
      <protection hidden="1"/>
    </xf>
    <xf numFmtId="0" fontId="8" fillId="3" borderId="40" xfId="0" applyFont="1" applyFill="1" applyBorder="1" applyAlignment="1" applyProtection="1">
      <alignment horizontal="center" vertical="center"/>
      <protection hidden="1"/>
    </xf>
    <xf numFmtId="0" fontId="77" fillId="3" borderId="12" xfId="0" applyFont="1" applyFill="1" applyBorder="1" applyAlignment="1" applyProtection="1">
      <alignment horizontal="center" vertical="center"/>
      <protection hidden="1"/>
    </xf>
    <xf numFmtId="0" fontId="10" fillId="3" borderId="40" xfId="0" applyFont="1" applyFill="1" applyBorder="1" applyAlignment="1" applyProtection="1">
      <alignment horizontal="center" vertical="center"/>
      <protection hidden="1"/>
    </xf>
    <xf numFmtId="0" fontId="10" fillId="3" borderId="3" xfId="0" applyFont="1" applyFill="1" applyBorder="1" applyAlignment="1" applyProtection="1">
      <alignment horizontal="center" vertical="center"/>
      <protection hidden="1"/>
    </xf>
    <xf numFmtId="0" fontId="9" fillId="4" borderId="8" xfId="0" applyFont="1" applyFill="1" applyBorder="1" applyAlignment="1" applyProtection="1">
      <alignment horizontal="center" vertical="center"/>
      <protection hidden="1"/>
    </xf>
    <xf numFmtId="0" fontId="8" fillId="3" borderId="23" xfId="0" applyFont="1" applyFill="1" applyBorder="1" applyAlignment="1" applyProtection="1">
      <alignment horizontal="center" vertical="center"/>
      <protection hidden="1"/>
    </xf>
    <xf numFmtId="0" fontId="8" fillId="3" borderId="42" xfId="0" applyFont="1" applyFill="1" applyBorder="1" applyAlignment="1" applyProtection="1">
      <alignment horizontal="center" vertical="center"/>
      <protection hidden="1"/>
    </xf>
    <xf numFmtId="0" fontId="10" fillId="3" borderId="5" xfId="0" applyFont="1" applyFill="1" applyBorder="1" applyAlignment="1" applyProtection="1">
      <alignment horizontal="center" vertical="center"/>
      <protection hidden="1"/>
    </xf>
    <xf numFmtId="0" fontId="10" fillId="3" borderId="10" xfId="0" applyFont="1" applyFill="1" applyBorder="1" applyAlignment="1" applyProtection="1">
      <alignment horizontal="center" vertical="center"/>
      <protection hidden="1"/>
    </xf>
    <xf numFmtId="0" fontId="35" fillId="0" borderId="16" xfId="0" applyNumberFormat="1" applyFont="1" applyFill="1" applyBorder="1" applyAlignment="1" applyProtection="1">
      <alignment horizontal="center" vertical="center"/>
      <protection hidden="1"/>
    </xf>
    <xf numFmtId="0" fontId="81" fillId="0" borderId="16" xfId="0" applyNumberFormat="1" applyFont="1" applyFill="1" applyBorder="1" applyAlignment="1" applyProtection="1">
      <alignment horizontal="center" vertical="center"/>
      <protection hidden="1"/>
    </xf>
    <xf numFmtId="0" fontId="81" fillId="0" borderId="13" xfId="0" applyNumberFormat="1" applyFont="1" applyFill="1" applyBorder="1" applyAlignment="1" applyProtection="1">
      <alignment horizontal="center" vertical="center"/>
      <protection hidden="1"/>
    </xf>
    <xf numFmtId="0" fontId="8" fillId="3" borderId="14" xfId="0" applyFont="1" applyFill="1" applyBorder="1" applyAlignment="1" applyProtection="1">
      <alignment horizontal="center" vertical="center"/>
      <protection hidden="1"/>
    </xf>
    <xf numFmtId="0" fontId="8" fillId="3" borderId="2" xfId="0" applyFont="1" applyFill="1" applyBorder="1" applyAlignment="1" applyProtection="1">
      <alignment horizontal="center" vertical="center"/>
      <protection hidden="1"/>
    </xf>
    <xf numFmtId="0" fontId="10" fillId="3" borderId="2" xfId="0" applyFont="1" applyFill="1" applyBorder="1" applyAlignment="1" applyProtection="1">
      <alignment horizontal="center" vertical="center"/>
      <protection hidden="1"/>
    </xf>
    <xf numFmtId="0" fontId="10" fillId="3" borderId="11" xfId="0" applyFont="1" applyFill="1" applyBorder="1" applyAlignment="1" applyProtection="1">
      <alignment horizontal="center" vertical="center"/>
      <protection hidden="1"/>
    </xf>
    <xf numFmtId="0" fontId="49" fillId="3" borderId="14" xfId="0" applyFont="1" applyFill="1" applyBorder="1" applyAlignment="1" applyProtection="1">
      <alignment horizontal="center" vertical="center"/>
      <protection hidden="1"/>
    </xf>
    <xf numFmtId="0" fontId="49" fillId="3" borderId="40" xfId="0" applyFont="1" applyFill="1" applyBorder="1" applyAlignment="1" applyProtection="1">
      <alignment horizontal="center" vertical="center"/>
      <protection hidden="1"/>
    </xf>
    <xf numFmtId="0" fontId="88" fillId="3" borderId="12" xfId="0" applyFont="1" applyFill="1" applyBorder="1" applyAlignment="1" applyProtection="1">
      <alignment horizontal="center" vertical="center"/>
      <protection hidden="1"/>
    </xf>
    <xf numFmtId="0" fontId="8" fillId="3" borderId="23" xfId="0" applyNumberFormat="1" applyFont="1" applyFill="1" applyBorder="1" applyAlignment="1" applyProtection="1">
      <alignment horizontal="center" vertical="center"/>
      <protection hidden="1"/>
    </xf>
    <xf numFmtId="0" fontId="8" fillId="3" borderId="42" xfId="0" applyNumberFormat="1" applyFont="1" applyFill="1" applyBorder="1" applyAlignment="1" applyProtection="1">
      <alignment horizontal="center" vertical="center"/>
      <protection hidden="1"/>
    </xf>
    <xf numFmtId="0" fontId="10" fillId="3" borderId="3" xfId="0" applyNumberFormat="1" applyFont="1" applyFill="1" applyBorder="1" applyAlignment="1" applyProtection="1">
      <alignment horizontal="center" vertical="center"/>
      <protection hidden="1"/>
    </xf>
    <xf numFmtId="0" fontId="10" fillId="3" borderId="10" xfId="0" applyNumberFormat="1" applyFont="1" applyFill="1" applyBorder="1" applyAlignment="1" applyProtection="1">
      <alignment horizontal="center" vertical="center"/>
      <protection hidden="1"/>
    </xf>
    <xf numFmtId="0" fontId="49" fillId="3" borderId="21" xfId="0" applyFont="1" applyFill="1" applyBorder="1" applyAlignment="1" applyProtection="1">
      <alignment horizontal="center" vertical="center"/>
      <protection hidden="1"/>
    </xf>
    <xf numFmtId="0" fontId="88" fillId="3" borderId="0" xfId="0" applyFont="1" applyFill="1" applyBorder="1" applyAlignment="1" applyProtection="1">
      <alignment horizontal="center" vertical="center"/>
      <protection hidden="1"/>
    </xf>
    <xf numFmtId="0" fontId="88" fillId="3" borderId="40" xfId="0" applyFont="1" applyFill="1" applyBorder="1" applyAlignment="1" applyProtection="1">
      <alignment horizontal="center" vertical="center"/>
      <protection hidden="1"/>
    </xf>
    <xf numFmtId="0" fontId="88" fillId="3" borderId="5" xfId="0" applyFont="1" applyFill="1" applyBorder="1" applyAlignment="1" applyProtection="1">
      <alignment horizontal="center" vertical="center"/>
      <protection hidden="1"/>
    </xf>
    <xf numFmtId="0" fontId="49" fillId="3" borderId="0" xfId="0" applyFont="1" applyFill="1" applyBorder="1" applyAlignment="1" applyProtection="1">
      <alignment horizontal="center" vertical="center"/>
      <protection hidden="1"/>
    </xf>
    <xf numFmtId="0" fontId="49" fillId="3" borderId="42" xfId="0" applyFont="1" applyFill="1" applyBorder="1" applyAlignment="1" applyProtection="1">
      <alignment horizontal="center" vertical="center"/>
      <protection hidden="1"/>
    </xf>
    <xf numFmtId="0" fontId="12" fillId="4" borderId="41" xfId="0" applyFont="1" applyFill="1" applyBorder="1" applyAlignment="1" applyProtection="1">
      <alignment horizontal="center" vertical="center"/>
      <protection hidden="1"/>
    </xf>
    <xf numFmtId="0" fontId="88" fillId="3" borderId="42" xfId="0" applyFont="1" applyFill="1" applyBorder="1" applyAlignment="1" applyProtection="1">
      <alignment horizontal="center" vertical="center"/>
      <protection hidden="1"/>
    </xf>
    <xf numFmtId="0" fontId="8" fillId="3" borderId="0" xfId="0" applyFont="1" applyFill="1" applyBorder="1" applyAlignment="1" applyProtection="1">
      <alignment horizontal="center" vertical="center"/>
      <protection hidden="1"/>
    </xf>
    <xf numFmtId="0" fontId="10" fillId="3" borderId="42" xfId="0" applyFont="1" applyFill="1" applyBorder="1" applyAlignment="1" applyProtection="1">
      <alignment horizontal="center" vertical="center"/>
      <protection hidden="1"/>
    </xf>
    <xf numFmtId="0" fontId="8" fillId="0" borderId="12" xfId="0" applyFont="1" applyFill="1" applyBorder="1" applyAlignment="1" applyProtection="1">
      <alignment horizontal="center" vertical="center"/>
      <protection hidden="1"/>
    </xf>
    <xf numFmtId="0" fontId="8" fillId="3" borderId="35" xfId="0" applyFont="1" applyFill="1" applyBorder="1" applyAlignment="1" applyProtection="1">
      <alignment horizontal="center" vertical="center"/>
      <protection hidden="1"/>
    </xf>
    <xf numFmtId="0" fontId="10" fillId="3" borderId="7" xfId="0" applyFont="1" applyFill="1" applyBorder="1" applyAlignment="1" applyProtection="1">
      <alignment horizontal="center" vertical="center"/>
      <protection hidden="1"/>
    </xf>
    <xf numFmtId="0" fontId="10" fillId="0" borderId="12" xfId="0" applyFont="1" applyFill="1" applyBorder="1" applyAlignment="1" applyProtection="1">
      <alignment horizontal="center" vertical="center"/>
      <protection hidden="1"/>
    </xf>
    <xf numFmtId="0" fontId="8" fillId="0" borderId="5" xfId="0" applyFont="1" applyFill="1" applyBorder="1" applyAlignment="1" applyProtection="1">
      <alignment horizontal="center" vertical="center"/>
      <protection hidden="1"/>
    </xf>
    <xf numFmtId="0" fontId="8" fillId="3" borderId="37" xfId="0" applyFont="1" applyFill="1" applyBorder="1" applyAlignment="1" applyProtection="1">
      <alignment horizontal="center" vertical="center"/>
      <protection hidden="1"/>
    </xf>
    <xf numFmtId="0" fontId="10" fillId="3" borderId="6" xfId="0" applyFont="1" applyFill="1" applyBorder="1" applyAlignment="1" applyProtection="1">
      <alignment horizontal="center" vertical="center"/>
      <protection hidden="1"/>
    </xf>
    <xf numFmtId="0" fontId="10" fillId="0" borderId="5" xfId="0" applyFont="1" applyFill="1" applyBorder="1" applyAlignment="1" applyProtection="1">
      <alignment horizontal="center" vertical="center"/>
      <protection hidden="1"/>
    </xf>
    <xf numFmtId="0" fontId="8" fillId="0" borderId="3" xfId="0" applyFont="1" applyFill="1" applyBorder="1" applyAlignment="1" applyProtection="1">
      <alignment horizontal="center" vertical="center"/>
      <protection hidden="1"/>
    </xf>
    <xf numFmtId="0" fontId="10" fillId="0" borderId="3" xfId="0" applyFont="1" applyFill="1" applyBorder="1" applyAlignment="1" applyProtection="1">
      <alignment horizontal="center" vertical="center"/>
      <protection hidden="1"/>
    </xf>
    <xf numFmtId="0" fontId="8" fillId="3" borderId="8" xfId="0" applyFont="1" applyFill="1" applyBorder="1" applyAlignment="1" applyProtection="1">
      <alignment horizontal="center" vertical="center"/>
      <protection hidden="1"/>
    </xf>
    <xf numFmtId="0" fontId="8" fillId="3" borderId="10" xfId="0" applyFont="1" applyFill="1" applyBorder="1" applyAlignment="1" applyProtection="1">
      <alignment horizontal="center" vertical="center"/>
      <protection hidden="1"/>
    </xf>
    <xf numFmtId="0" fontId="88" fillId="3" borderId="8" xfId="0" applyFont="1" applyFill="1" applyBorder="1" applyAlignment="1" applyProtection="1">
      <alignment horizontal="center" vertical="center"/>
      <protection hidden="1"/>
    </xf>
    <xf numFmtId="0" fontId="88" fillId="3" borderId="23" xfId="0" applyFont="1" applyFill="1" applyBorder="1" applyAlignment="1" applyProtection="1">
      <alignment horizontal="center" vertical="center"/>
      <protection hidden="1"/>
    </xf>
    <xf numFmtId="0" fontId="88" fillId="3" borderId="14" xfId="0" applyFont="1" applyFill="1" applyBorder="1" applyAlignment="1" applyProtection="1">
      <alignment horizontal="center" vertical="center"/>
      <protection hidden="1"/>
    </xf>
    <xf numFmtId="0" fontId="8" fillId="3" borderId="5" xfId="0" applyFont="1" applyFill="1" applyBorder="1" applyAlignment="1" applyProtection="1">
      <alignment horizontal="center" vertical="center"/>
      <protection hidden="1"/>
    </xf>
    <xf numFmtId="0" fontId="10" fillId="3" borderId="23" xfId="0" applyFont="1" applyFill="1" applyBorder="1" applyAlignment="1" applyProtection="1">
      <alignment horizontal="center" vertical="center"/>
      <protection hidden="1"/>
    </xf>
    <xf numFmtId="0" fontId="49" fillId="3" borderId="23" xfId="0" applyFont="1" applyFill="1" applyBorder="1" applyAlignment="1" applyProtection="1">
      <alignment horizontal="center" vertical="center"/>
      <protection hidden="1"/>
    </xf>
    <xf numFmtId="0" fontId="12" fillId="4" borderId="9" xfId="0" applyFont="1" applyFill="1" applyBorder="1" applyAlignment="1" applyProtection="1">
      <alignment horizontal="center" vertical="center"/>
      <protection hidden="1"/>
    </xf>
    <xf numFmtId="0" fontId="12" fillId="4" borderId="3" xfId="0" applyFont="1" applyFill="1" applyBorder="1" applyAlignment="1" applyProtection="1">
      <alignment horizontal="center" vertical="center"/>
      <protection hidden="1"/>
    </xf>
    <xf numFmtId="0" fontId="10" fillId="3" borderId="8" xfId="0" applyFont="1" applyFill="1" applyBorder="1" applyAlignment="1" applyProtection="1">
      <alignment horizontal="center" vertical="center"/>
      <protection hidden="1"/>
    </xf>
    <xf numFmtId="0" fontId="80" fillId="3" borderId="14" xfId="0" applyFont="1" applyFill="1" applyBorder="1" applyAlignment="1" applyProtection="1">
      <alignment horizontal="center" vertical="center"/>
      <protection hidden="1"/>
    </xf>
    <xf numFmtId="0" fontId="80" fillId="3" borderId="40" xfId="0" applyFont="1" applyFill="1" applyBorder="1" applyAlignment="1" applyProtection="1">
      <alignment horizontal="center" vertical="center"/>
      <protection hidden="1"/>
    </xf>
    <xf numFmtId="0" fontId="80" fillId="3" borderId="23" xfId="0" applyFont="1" applyFill="1" applyBorder="1" applyAlignment="1" applyProtection="1">
      <alignment horizontal="center" vertical="center"/>
      <protection hidden="1"/>
    </xf>
    <xf numFmtId="0" fontId="80" fillId="3" borderId="42" xfId="0" applyFont="1" applyFill="1" applyBorder="1" applyAlignment="1" applyProtection="1">
      <alignment horizontal="center" vertical="center"/>
      <protection hidden="1"/>
    </xf>
    <xf numFmtId="0" fontId="89" fillId="3" borderId="42" xfId="0" applyFont="1" applyFill="1" applyBorder="1" applyAlignment="1" applyProtection="1">
      <alignment horizontal="center" vertical="center"/>
      <protection hidden="1"/>
    </xf>
    <xf numFmtId="0" fontId="58" fillId="3" borderId="42" xfId="0" applyFont="1" applyFill="1" applyBorder="1" applyAlignment="1" applyProtection="1">
      <alignment horizontal="center" vertical="center"/>
      <protection hidden="1"/>
    </xf>
    <xf numFmtId="0" fontId="89" fillId="3" borderId="8" xfId="0" applyFont="1" applyFill="1" applyBorder="1" applyAlignment="1" applyProtection="1">
      <alignment horizontal="center" vertical="center"/>
      <protection hidden="1"/>
    </xf>
    <xf numFmtId="0" fontId="89" fillId="3" borderId="10" xfId="0" applyFont="1" applyFill="1" applyBorder="1" applyAlignment="1" applyProtection="1">
      <alignment horizontal="center" vertical="center"/>
      <protection hidden="1"/>
    </xf>
    <xf numFmtId="0" fontId="10" fillId="0" borderId="35" xfId="0" applyFont="1" applyFill="1" applyBorder="1" applyAlignment="1" applyProtection="1">
      <alignment horizontal="center" vertical="center"/>
      <protection hidden="1"/>
    </xf>
    <xf numFmtId="0" fontId="89" fillId="3" borderId="2" xfId="0" applyFont="1" applyFill="1" applyBorder="1" applyAlignment="1" applyProtection="1">
      <alignment horizontal="center" vertical="center"/>
      <protection hidden="1"/>
    </xf>
    <xf numFmtId="0" fontId="90" fillId="3" borderId="2" xfId="0" applyFont="1" applyFill="1" applyBorder="1" applyAlignment="1" applyProtection="1">
      <alignment horizontal="center" vertical="center"/>
      <protection hidden="1"/>
    </xf>
    <xf numFmtId="0" fontId="89" fillId="3" borderId="11" xfId="0" applyFont="1" applyFill="1" applyBorder="1" applyAlignment="1" applyProtection="1">
      <alignment horizontal="center" vertical="center"/>
      <protection hidden="1"/>
    </xf>
    <xf numFmtId="0" fontId="90" fillId="3" borderId="13" xfId="0" applyFont="1" applyFill="1" applyBorder="1" applyAlignment="1" applyProtection="1">
      <alignment horizontal="center" vertical="center"/>
      <protection hidden="1"/>
    </xf>
    <xf numFmtId="0" fontId="89" fillId="3" borderId="0" xfId="0" applyFont="1" applyFill="1" applyBorder="1" applyAlignment="1" applyProtection="1">
      <alignment horizontal="center" vertical="center"/>
      <protection hidden="1"/>
    </xf>
    <xf numFmtId="0" fontId="90" fillId="3" borderId="11" xfId="0" applyFont="1" applyFill="1" applyBorder="1" applyAlignment="1" applyProtection="1">
      <alignment horizontal="center" vertical="center"/>
      <protection hidden="1"/>
    </xf>
    <xf numFmtId="0" fontId="89" fillId="3" borderId="5" xfId="0" applyFont="1" applyFill="1" applyBorder="1" applyAlignment="1" applyProtection="1">
      <alignment horizontal="center" vertical="center"/>
      <protection hidden="1"/>
    </xf>
    <xf numFmtId="0" fontId="90" fillId="3" borderId="42" xfId="0" applyFont="1" applyFill="1" applyBorder="1" applyAlignment="1" applyProtection="1">
      <alignment horizontal="center" vertical="center"/>
      <protection hidden="1"/>
    </xf>
    <xf numFmtId="0" fontId="93" fillId="3" borderId="12" xfId="0" applyFont="1" applyFill="1" applyBorder="1" applyAlignment="1" applyProtection="1">
      <alignment horizontal="center" vertical="center"/>
      <protection hidden="1"/>
    </xf>
    <xf numFmtId="0" fontId="9" fillId="4" borderId="12" xfId="0" applyFont="1" applyFill="1" applyBorder="1" applyAlignment="1" applyProtection="1">
      <alignment horizontal="center" vertical="center"/>
      <protection hidden="1"/>
    </xf>
    <xf numFmtId="0" fontId="93" fillId="3" borderId="40" xfId="0" applyFont="1" applyFill="1" applyBorder="1" applyAlignment="1" applyProtection="1">
      <alignment horizontal="center" vertical="center"/>
      <protection hidden="1"/>
    </xf>
    <xf numFmtId="0" fontId="93" fillId="3" borderId="3" xfId="0" applyFont="1" applyFill="1" applyBorder="1" applyAlignment="1" applyProtection="1">
      <alignment horizontal="center" vertical="center"/>
      <protection hidden="1"/>
    </xf>
    <xf numFmtId="0" fontId="93" fillId="3" borderId="10" xfId="0" applyFont="1" applyFill="1" applyBorder="1" applyAlignment="1" applyProtection="1">
      <alignment horizontal="center" vertical="center"/>
      <protection hidden="1"/>
    </xf>
    <xf numFmtId="0" fontId="94" fillId="3" borderId="47" xfId="0" applyFont="1" applyFill="1" applyBorder="1" applyAlignment="1" applyProtection="1">
      <alignment horizontal="center" vertical="center"/>
      <protection hidden="1"/>
    </xf>
    <xf numFmtId="0" fontId="94" fillId="3" borderId="48" xfId="0" applyFont="1" applyFill="1" applyBorder="1" applyAlignment="1" applyProtection="1">
      <alignment horizontal="center" vertical="center"/>
      <protection hidden="1"/>
    </xf>
    <xf numFmtId="0" fontId="85" fillId="0" borderId="0" xfId="0" applyFont="1" applyAlignment="1" applyProtection="1">
      <alignment vertical="center"/>
      <protection hidden="1"/>
    </xf>
    <xf numFmtId="0" fontId="0" fillId="0" borderId="24" xfId="0" applyBorder="1" applyAlignment="1" applyProtection="1">
      <alignment vertical="center"/>
      <protection hidden="1"/>
    </xf>
    <xf numFmtId="0" fontId="10" fillId="3" borderId="51" xfId="0" applyFont="1" applyFill="1" applyBorder="1" applyAlignment="1" applyProtection="1">
      <alignment horizontal="center" vertical="center"/>
      <protection hidden="1"/>
    </xf>
    <xf numFmtId="0" fontId="0" fillId="0" borderId="5" xfId="0" applyBorder="1" applyAlignment="1" applyProtection="1">
      <alignment vertical="center"/>
      <protection hidden="1"/>
    </xf>
    <xf numFmtId="0" fontId="39" fillId="4" borderId="16" xfId="0" applyFont="1" applyFill="1" applyBorder="1" applyAlignment="1" applyProtection="1">
      <alignment horizontal="center" vertical="center"/>
      <protection hidden="1"/>
    </xf>
    <xf numFmtId="0" fontId="80" fillId="5" borderId="0" xfId="0" applyFont="1" applyFill="1" applyBorder="1" applyAlignment="1" applyProtection="1">
      <alignment vertical="center"/>
      <protection hidden="1"/>
    </xf>
    <xf numFmtId="0" fontId="86" fillId="4" borderId="16" xfId="0" applyFont="1" applyFill="1" applyBorder="1" applyAlignment="1" applyProtection="1">
      <alignment horizontal="center" vertical="center"/>
      <protection hidden="1"/>
    </xf>
    <xf numFmtId="0" fontId="86" fillId="4" borderId="2" xfId="0" applyFont="1" applyFill="1" applyBorder="1" applyAlignment="1" applyProtection="1">
      <alignment horizontal="center" vertical="center"/>
      <protection hidden="1"/>
    </xf>
    <xf numFmtId="0" fontId="107" fillId="3" borderId="2" xfId="0" applyFont="1" applyFill="1" applyBorder="1" applyAlignment="1" applyProtection="1">
      <alignment horizontal="center" vertical="center"/>
      <protection hidden="1"/>
    </xf>
    <xf numFmtId="0" fontId="8" fillId="4" borderId="21" xfId="0" applyFont="1" applyFill="1" applyBorder="1" applyAlignment="1" applyProtection="1">
      <alignment horizontal="right" vertical="center"/>
      <protection hidden="1"/>
    </xf>
    <xf numFmtId="0" fontId="8" fillId="4" borderId="0" xfId="0" applyFont="1" applyFill="1" applyBorder="1" applyAlignment="1" applyProtection="1">
      <alignment horizontal="right" vertical="center"/>
      <protection hidden="1"/>
    </xf>
    <xf numFmtId="0" fontId="0" fillId="4" borderId="21" xfId="0" applyFill="1" applyBorder="1" applyAlignment="1" applyProtection="1">
      <alignment vertical="center"/>
      <protection hidden="1"/>
    </xf>
    <xf numFmtId="0" fontId="60" fillId="2" borderId="13" xfId="0" applyFont="1" applyFill="1" applyBorder="1" applyAlignment="1" applyProtection="1">
      <alignment vertical="center"/>
      <protection hidden="1"/>
    </xf>
    <xf numFmtId="0" fontId="81" fillId="2" borderId="13" xfId="0" applyFont="1" applyFill="1" applyBorder="1" applyAlignment="1" applyProtection="1">
      <alignment vertical="center"/>
      <protection hidden="1"/>
    </xf>
    <xf numFmtId="0" fontId="80" fillId="5" borderId="0" xfId="0" applyFont="1" applyFill="1" applyAlignment="1" applyProtection="1">
      <alignment vertical="center"/>
      <protection hidden="1"/>
    </xf>
    <xf numFmtId="0" fontId="80" fillId="5" borderId="0" xfId="0" applyFont="1" applyFill="1" applyAlignment="1" applyProtection="1">
      <alignment vertical="center"/>
      <protection hidden="1"/>
    </xf>
    <xf numFmtId="0" fontId="29" fillId="4" borderId="4" xfId="0" applyFont="1" applyFill="1" applyBorder="1" applyAlignment="1" applyProtection="1">
      <alignment vertical="center"/>
      <protection hidden="1"/>
    </xf>
    <xf numFmtId="0" fontId="8" fillId="0" borderId="21" xfId="0" applyFont="1" applyFill="1" applyBorder="1" applyAlignment="1" applyProtection="1">
      <alignment/>
      <protection hidden="1"/>
    </xf>
    <xf numFmtId="0" fontId="29" fillId="0" borderId="0" xfId="0" applyFont="1" applyFill="1" applyBorder="1" applyAlignment="1" applyProtection="1" quotePrefix="1">
      <alignment horizontal="left" vertical="center"/>
      <protection hidden="1"/>
    </xf>
    <xf numFmtId="0" fontId="0" fillId="0" borderId="22" xfId="0" applyFill="1" applyBorder="1" applyAlignment="1" applyProtection="1">
      <alignment/>
      <protection hidden="1"/>
    </xf>
    <xf numFmtId="0" fontId="8" fillId="0" borderId="0" xfId="0" applyFont="1" applyFill="1" applyBorder="1" applyAlignment="1" applyProtection="1">
      <alignment horizontal="right"/>
      <protection hidden="1"/>
    </xf>
    <xf numFmtId="0" fontId="44" fillId="3" borderId="21" xfId="0" applyFont="1" applyFill="1" applyBorder="1" applyAlignment="1" applyProtection="1">
      <alignment horizontal="center" vertical="center"/>
      <protection hidden="1"/>
    </xf>
    <xf numFmtId="0" fontId="0" fillId="0" borderId="21" xfId="0" applyFill="1" applyBorder="1" applyAlignment="1" applyProtection="1">
      <alignment/>
      <protection hidden="1"/>
    </xf>
    <xf numFmtId="0" fontId="44" fillId="3" borderId="14" xfId="0" applyFont="1" applyFill="1" applyBorder="1" applyAlignment="1" applyProtection="1">
      <alignment horizontal="center" vertical="center"/>
      <protection hidden="1"/>
    </xf>
    <xf numFmtId="0" fontId="45" fillId="0" borderId="0" xfId="0" applyFont="1" applyFill="1" applyBorder="1" applyAlignment="1" applyProtection="1">
      <alignment/>
      <protection hidden="1"/>
    </xf>
    <xf numFmtId="0" fontId="46" fillId="3" borderId="0" xfId="0" applyFont="1" applyFill="1" applyBorder="1" applyAlignment="1" applyProtection="1">
      <alignment horizontal="center"/>
      <protection hidden="1"/>
    </xf>
    <xf numFmtId="0" fontId="46" fillId="3" borderId="23" xfId="0" applyFont="1" applyFill="1" applyBorder="1" applyAlignment="1" applyProtection="1">
      <alignment horizontal="center"/>
      <protection hidden="1"/>
    </xf>
    <xf numFmtId="0" fontId="46" fillId="3" borderId="22" xfId="0" applyFont="1" applyFill="1" applyBorder="1" applyAlignment="1" applyProtection="1">
      <alignment horizontal="center"/>
      <protection hidden="1"/>
    </xf>
    <xf numFmtId="0" fontId="46" fillId="4" borderId="28" xfId="0" applyFont="1" applyFill="1" applyBorder="1" applyAlignment="1" applyProtection="1">
      <alignment horizontal="center"/>
      <protection hidden="1"/>
    </xf>
    <xf numFmtId="0" fontId="46" fillId="0" borderId="0" xfId="0" applyFont="1" applyFill="1" applyBorder="1" applyAlignment="1" applyProtection="1">
      <alignment horizontal="center"/>
      <protection hidden="1"/>
    </xf>
    <xf numFmtId="0" fontId="44" fillId="3" borderId="16" xfId="0" applyFont="1" applyFill="1" applyBorder="1" applyAlignment="1" applyProtection="1">
      <alignment horizontal="center" vertical="center"/>
      <protection hidden="1"/>
    </xf>
    <xf numFmtId="0" fontId="0" fillId="3" borderId="1" xfId="0" applyFill="1" applyBorder="1" applyAlignment="1" applyProtection="1">
      <alignment horizontal="center" vertical="center"/>
      <protection hidden="1"/>
    </xf>
    <xf numFmtId="0" fontId="52" fillId="3" borderId="12" xfId="0" applyNumberFormat="1" applyFont="1" applyFill="1" applyBorder="1" applyAlignment="1" applyProtection="1">
      <alignment horizontal="center"/>
      <protection hidden="1"/>
    </xf>
    <xf numFmtId="0" fontId="53" fillId="3" borderId="14" xfId="0" applyFont="1" applyFill="1" applyBorder="1" applyAlignment="1" applyProtection="1">
      <alignment horizontal="center" vertical="center"/>
      <protection hidden="1"/>
    </xf>
    <xf numFmtId="0" fontId="53" fillId="3" borderId="1" xfId="0" applyFont="1" applyFill="1" applyBorder="1" applyAlignment="1" applyProtection="1">
      <alignment horizontal="center" vertical="center"/>
      <protection hidden="1"/>
    </xf>
    <xf numFmtId="0" fontId="53" fillId="3" borderId="1" xfId="0" applyFont="1" applyFill="1" applyBorder="1" applyAlignment="1" applyProtection="1">
      <alignment horizontal="center"/>
      <protection hidden="1"/>
    </xf>
    <xf numFmtId="0" fontId="51" fillId="3" borderId="52" xfId="0" applyFont="1" applyFill="1" applyBorder="1" applyAlignment="1" applyProtection="1">
      <alignment horizontal="center"/>
      <protection hidden="1"/>
    </xf>
    <xf numFmtId="0" fontId="52" fillId="3" borderId="21" xfId="0" applyNumberFormat="1" applyFont="1" applyFill="1" applyBorder="1" applyAlignment="1" applyProtection="1">
      <alignment horizontal="center"/>
      <protection hidden="1"/>
    </xf>
    <xf numFmtId="0" fontId="53" fillId="3" borderId="12" xfId="0" applyFont="1" applyFill="1" applyBorder="1" applyAlignment="1" applyProtection="1">
      <alignment horizontal="center" vertical="center"/>
      <protection hidden="1"/>
    </xf>
    <xf numFmtId="0" fontId="53" fillId="3" borderId="12" xfId="0" applyFont="1" applyFill="1" applyBorder="1" applyAlignment="1" applyProtection="1">
      <alignment horizontal="center"/>
      <protection hidden="1"/>
    </xf>
    <xf numFmtId="0" fontId="0" fillId="3" borderId="7" xfId="0" applyFill="1" applyBorder="1" applyAlignment="1" applyProtection="1">
      <alignment horizontal="center" vertical="center"/>
      <protection hidden="1"/>
    </xf>
    <xf numFmtId="0" fontId="52" fillId="3" borderId="5" xfId="0" applyNumberFormat="1" applyFont="1" applyFill="1" applyBorder="1" applyAlignment="1" applyProtection="1">
      <alignment horizontal="center"/>
      <protection hidden="1"/>
    </xf>
    <xf numFmtId="0" fontId="53" fillId="3" borderId="23" xfId="0" applyFont="1" applyFill="1" applyBorder="1" applyAlignment="1" applyProtection="1">
      <alignment horizontal="center" vertical="center"/>
      <protection hidden="1"/>
    </xf>
    <xf numFmtId="0" fontId="53" fillId="3" borderId="7" xfId="0" applyFont="1" applyFill="1" applyBorder="1" applyAlignment="1" applyProtection="1">
      <alignment horizontal="center" vertical="center"/>
      <protection hidden="1"/>
    </xf>
    <xf numFmtId="0" fontId="53" fillId="3" borderId="7" xfId="0" applyFont="1" applyFill="1" applyBorder="1" applyAlignment="1" applyProtection="1">
      <alignment horizontal="center"/>
      <protection hidden="1"/>
    </xf>
    <xf numFmtId="0" fontId="52" fillId="3" borderId="0" xfId="0" applyNumberFormat="1" applyFont="1" applyFill="1" applyBorder="1" applyAlignment="1" applyProtection="1">
      <alignment horizontal="center"/>
      <protection hidden="1"/>
    </xf>
    <xf numFmtId="0" fontId="53" fillId="3" borderId="5" xfId="0" applyFont="1" applyFill="1" applyBorder="1" applyAlignment="1" applyProtection="1">
      <alignment horizontal="center" vertical="center"/>
      <protection hidden="1"/>
    </xf>
    <xf numFmtId="0" fontId="53" fillId="3" borderId="5" xfId="0" applyFont="1" applyFill="1" applyBorder="1" applyAlignment="1" applyProtection="1">
      <alignment horizontal="center"/>
      <protection hidden="1"/>
    </xf>
    <xf numFmtId="0" fontId="0" fillId="3" borderId="6" xfId="0" applyFill="1" applyBorder="1" applyAlignment="1" applyProtection="1">
      <alignment horizontal="center" vertical="center"/>
      <protection hidden="1"/>
    </xf>
    <xf numFmtId="0" fontId="52" fillId="3" borderId="3" xfId="0" applyNumberFormat="1" applyFont="1" applyFill="1" applyBorder="1" applyAlignment="1" applyProtection="1">
      <alignment horizontal="center"/>
      <protection hidden="1"/>
    </xf>
    <xf numFmtId="0" fontId="53" fillId="3" borderId="8" xfId="0" applyFont="1" applyFill="1" applyBorder="1" applyAlignment="1" applyProtection="1">
      <alignment horizontal="center" vertical="center"/>
      <protection hidden="1"/>
    </xf>
    <xf numFmtId="0" fontId="53" fillId="3" borderId="6" xfId="0" applyFont="1" applyFill="1" applyBorder="1" applyAlignment="1" applyProtection="1">
      <alignment horizontal="center" vertical="center"/>
      <protection hidden="1"/>
    </xf>
    <xf numFmtId="0" fontId="53" fillId="3" borderId="6" xfId="0" applyFont="1" applyFill="1" applyBorder="1" applyAlignment="1" applyProtection="1">
      <alignment horizontal="center"/>
      <protection hidden="1"/>
    </xf>
    <xf numFmtId="0" fontId="51" fillId="3" borderId="53" xfId="0" applyFont="1" applyFill="1" applyBorder="1" applyAlignment="1" applyProtection="1">
      <alignment horizontal="center"/>
      <protection hidden="1"/>
    </xf>
    <xf numFmtId="0" fontId="52" fillId="3" borderId="22" xfId="0" applyNumberFormat="1" applyFont="1" applyFill="1" applyBorder="1" applyAlignment="1" applyProtection="1">
      <alignment horizontal="center"/>
      <protection hidden="1"/>
    </xf>
    <xf numFmtId="0" fontId="53" fillId="3" borderId="3" xfId="0" applyFont="1" applyFill="1" applyBorder="1" applyAlignment="1" applyProtection="1">
      <alignment horizontal="center" vertical="center"/>
      <protection hidden="1"/>
    </xf>
    <xf numFmtId="0" fontId="53" fillId="3" borderId="3" xfId="0" applyFont="1" applyFill="1" applyBorder="1" applyAlignment="1" applyProtection="1">
      <alignment horizontal="center"/>
      <protection hidden="1"/>
    </xf>
    <xf numFmtId="0" fontId="44" fillId="3" borderId="2" xfId="0" applyFont="1" applyFill="1" applyBorder="1" applyAlignment="1" applyProtection="1">
      <alignment horizontal="center" vertical="center"/>
      <protection hidden="1"/>
    </xf>
    <xf numFmtId="0" fontId="0" fillId="3" borderId="12" xfId="0" applyFill="1" applyBorder="1" applyAlignment="1" applyProtection="1">
      <alignment horizontal="center" vertical="center"/>
      <protection hidden="1"/>
    </xf>
    <xf numFmtId="0" fontId="51" fillId="3" borderId="54" xfId="0" applyFont="1" applyFill="1" applyBorder="1" applyAlignment="1" applyProtection="1">
      <alignment horizontal="center"/>
      <protection hidden="1"/>
    </xf>
    <xf numFmtId="0" fontId="0" fillId="3" borderId="5" xfId="0" applyFill="1" applyBorder="1" applyAlignment="1" applyProtection="1">
      <alignment horizontal="center" vertical="center"/>
      <protection hidden="1"/>
    </xf>
    <xf numFmtId="0" fontId="0" fillId="3" borderId="3" xfId="0" applyFill="1" applyBorder="1" applyAlignment="1" applyProtection="1">
      <alignment horizontal="center" vertical="center"/>
      <protection hidden="1"/>
    </xf>
    <xf numFmtId="0" fontId="51" fillId="3" borderId="55" xfId="0" applyFont="1" applyFill="1" applyBorder="1" applyAlignment="1" applyProtection="1">
      <alignment horizontal="center"/>
      <protection hidden="1"/>
    </xf>
    <xf numFmtId="0" fontId="112" fillId="2" borderId="16" xfId="0" applyFont="1" applyFill="1" applyBorder="1" applyAlignment="1" applyProtection="1">
      <alignment horizontal="center" vertical="center"/>
      <protection locked="0"/>
    </xf>
    <xf numFmtId="0" fontId="112" fillId="2" borderId="12" xfId="0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left"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9" fillId="4" borderId="16" xfId="0" applyFont="1" applyFill="1" applyBorder="1" applyAlignment="1" applyProtection="1">
      <alignment horizontal="left" vertical="center"/>
      <protection hidden="1"/>
    </xf>
    <xf numFmtId="0" fontId="109" fillId="4" borderId="4" xfId="0" applyFont="1" applyFill="1" applyBorder="1" applyAlignment="1" applyProtection="1">
      <alignment vertical="center"/>
      <protection hidden="1"/>
    </xf>
    <xf numFmtId="0" fontId="105" fillId="4" borderId="13" xfId="0" applyFont="1" applyFill="1" applyBorder="1" applyAlignment="1" applyProtection="1">
      <alignment horizontal="center" vertical="center"/>
      <protection hidden="1"/>
    </xf>
    <xf numFmtId="0" fontId="86" fillId="4" borderId="13" xfId="0" applyFont="1" applyFill="1" applyBorder="1" applyAlignment="1" applyProtection="1">
      <alignment horizontal="center" vertical="center"/>
      <protection hidden="1"/>
    </xf>
    <xf numFmtId="0" fontId="10" fillId="4" borderId="13" xfId="0" applyFont="1" applyFill="1" applyBorder="1" applyAlignment="1" applyProtection="1">
      <alignment horizontal="right" vertical="center"/>
      <protection hidden="1"/>
    </xf>
    <xf numFmtId="0" fontId="95" fillId="0" borderId="0" xfId="0" applyFont="1" applyAlignment="1" applyProtection="1">
      <alignment horizontal="left" vertical="center"/>
      <protection hidden="1"/>
    </xf>
    <xf numFmtId="0" fontId="9" fillId="4" borderId="13" xfId="0" applyFont="1" applyFill="1" applyBorder="1" applyAlignment="1" applyProtection="1">
      <alignment horizontal="left" vertical="center"/>
      <protection hidden="1"/>
    </xf>
    <xf numFmtId="0" fontId="9" fillId="0" borderId="0" xfId="0" applyFont="1" applyAlignment="1" applyProtection="1">
      <alignment horizontal="left" vertical="center"/>
      <protection hidden="1"/>
    </xf>
    <xf numFmtId="0" fontId="10" fillId="4" borderId="14" xfId="0" applyFont="1" applyFill="1" applyBorder="1" applyAlignment="1" applyProtection="1">
      <alignment horizontal="right" vertical="center"/>
      <protection hidden="1"/>
    </xf>
    <xf numFmtId="0" fontId="86" fillId="2" borderId="13" xfId="0" applyFont="1" applyFill="1" applyBorder="1" applyAlignment="1" applyProtection="1">
      <alignment horizontal="center" vertical="center"/>
      <protection hidden="1"/>
    </xf>
    <xf numFmtId="0" fontId="116" fillId="0" borderId="0" xfId="0" applyFont="1" applyFill="1" applyBorder="1" applyAlignment="1" applyProtection="1">
      <alignment horizontal="left" vertical="center"/>
      <protection hidden="1"/>
    </xf>
    <xf numFmtId="0" fontId="9" fillId="0" borderId="0" xfId="0" applyFont="1" applyFill="1" applyBorder="1" applyAlignment="1" applyProtection="1">
      <alignment horizontal="left" vertical="center"/>
      <protection hidden="1"/>
    </xf>
    <xf numFmtId="0" fontId="9" fillId="4" borderId="2" xfId="0" applyFont="1" applyFill="1" applyBorder="1" applyAlignment="1" applyProtection="1">
      <alignment horizontal="left" vertical="center"/>
      <protection hidden="1"/>
    </xf>
    <xf numFmtId="0" fontId="100" fillId="3" borderId="2" xfId="0" applyFont="1" applyFill="1" applyBorder="1" applyAlignment="1" applyProtection="1">
      <alignment horizontal="center" vertical="center"/>
      <protection hidden="1"/>
    </xf>
    <xf numFmtId="0" fontId="58" fillId="3" borderId="13" xfId="0" applyFont="1" applyFill="1" applyBorder="1" applyAlignment="1" applyProtection="1">
      <alignment horizontal="center" vertical="center"/>
      <protection hidden="1"/>
    </xf>
    <xf numFmtId="0" fontId="58" fillId="0" borderId="16" xfId="0" applyFont="1" applyFill="1" applyBorder="1" applyAlignment="1" applyProtection="1">
      <alignment horizontal="center" vertical="center"/>
      <protection hidden="1"/>
    </xf>
    <xf numFmtId="0" fontId="58" fillId="0" borderId="0" xfId="0" applyFont="1" applyFill="1" applyBorder="1" applyAlignment="1" applyProtection="1">
      <alignment horizontal="center" vertical="center"/>
      <protection hidden="1"/>
    </xf>
    <xf numFmtId="0" fontId="58" fillId="3" borderId="6" xfId="0" applyFont="1" applyFill="1" applyBorder="1" applyAlignment="1" applyProtection="1">
      <alignment horizontal="center" vertical="center"/>
      <protection hidden="1"/>
    </xf>
    <xf numFmtId="0" fontId="58" fillId="3" borderId="3" xfId="0" applyFont="1" applyFill="1" applyBorder="1" applyAlignment="1" applyProtection="1">
      <alignment horizontal="center" vertical="center"/>
      <protection hidden="1"/>
    </xf>
    <xf numFmtId="0" fontId="112" fillId="0" borderId="0" xfId="0" applyFont="1" applyFill="1" applyBorder="1" applyAlignment="1" applyProtection="1">
      <alignment horizontal="center" vertical="center"/>
      <protection hidden="1"/>
    </xf>
    <xf numFmtId="0" fontId="23" fillId="0" borderId="0" xfId="0" applyFont="1" applyFill="1" applyBorder="1" applyAlignment="1" applyProtection="1">
      <alignment horizontal="center" vertical="center"/>
      <protection hidden="1"/>
    </xf>
    <xf numFmtId="0" fontId="58" fillId="3" borderId="14" xfId="0" applyFont="1" applyFill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left"/>
      <protection hidden="1"/>
    </xf>
    <xf numFmtId="0" fontId="100" fillId="3" borderId="13" xfId="0" applyFont="1" applyFill="1" applyBorder="1" applyAlignment="1" applyProtection="1">
      <alignment horizontal="center" vertical="center"/>
      <protection hidden="1"/>
    </xf>
    <xf numFmtId="0" fontId="86" fillId="4" borderId="8" xfId="0" applyFont="1" applyFill="1" applyBorder="1" applyAlignment="1" applyProtection="1">
      <alignment horizontal="center" vertical="center"/>
      <protection hidden="1"/>
    </xf>
    <xf numFmtId="0" fontId="77" fillId="3" borderId="13" xfId="0" applyFont="1" applyFill="1" applyBorder="1" applyAlignment="1" applyProtection="1">
      <alignment horizontal="center" vertical="center"/>
      <protection hidden="1"/>
    </xf>
    <xf numFmtId="0" fontId="102" fillId="4" borderId="13" xfId="0" applyFont="1" applyFill="1" applyBorder="1" applyAlignment="1" applyProtection="1">
      <alignment horizontal="center"/>
      <protection hidden="1"/>
    </xf>
    <xf numFmtId="0" fontId="77" fillId="3" borderId="2" xfId="0" applyFont="1" applyFill="1" applyBorder="1" applyAlignment="1" applyProtection="1">
      <alignment horizontal="center" vertical="center"/>
      <protection hidden="1"/>
    </xf>
    <xf numFmtId="0" fontId="115" fillId="0" borderId="0" xfId="0" applyFont="1" applyFill="1" applyBorder="1" applyAlignment="1" applyProtection="1">
      <alignment horizontal="left" vertical="center"/>
      <protection hidden="1"/>
    </xf>
    <xf numFmtId="0" fontId="109" fillId="0" borderId="0" xfId="0" applyFont="1" applyFill="1" applyBorder="1" applyAlignment="1" applyProtection="1">
      <alignment vertical="center"/>
      <protection hidden="1"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111" fillId="4" borderId="16" xfId="0" applyFont="1" applyFill="1" applyBorder="1" applyAlignment="1" applyProtection="1">
      <alignment vertical="center"/>
      <protection hidden="1"/>
    </xf>
    <xf numFmtId="0" fontId="111" fillId="4" borderId="13" xfId="0" applyFont="1" applyFill="1" applyBorder="1" applyAlignment="1" applyProtection="1">
      <alignment horizontal="center" vertical="center"/>
      <protection hidden="1"/>
    </xf>
    <xf numFmtId="0" fontId="111" fillId="4" borderId="12" xfId="0" applyFont="1" applyFill="1" applyBorder="1" applyAlignment="1" applyProtection="1">
      <alignment horizontal="center" vertical="center"/>
      <protection hidden="1"/>
    </xf>
    <xf numFmtId="0" fontId="111" fillId="4" borderId="2" xfId="0" applyFont="1" applyFill="1" applyBorder="1" applyAlignment="1" applyProtection="1">
      <alignment horizontal="center" vertical="center"/>
      <protection hidden="1"/>
    </xf>
    <xf numFmtId="0" fontId="58" fillId="3" borderId="12" xfId="0" applyFont="1" applyFill="1" applyBorder="1" applyAlignment="1" applyProtection="1">
      <alignment horizontal="center" vertical="center"/>
      <protection hidden="1"/>
    </xf>
    <xf numFmtId="0" fontId="58" fillId="3" borderId="4" xfId="0" applyFont="1" applyFill="1" applyBorder="1" applyAlignment="1" applyProtection="1">
      <alignment horizontal="center" vertical="center"/>
      <protection hidden="1"/>
    </xf>
    <xf numFmtId="0" fontId="100" fillId="3" borderId="8" xfId="0" applyFont="1" applyFill="1" applyBorder="1" applyAlignment="1" applyProtection="1">
      <alignment horizontal="center" vertical="center"/>
      <protection hidden="1"/>
    </xf>
    <xf numFmtId="0" fontId="58" fillId="0" borderId="13" xfId="0" applyFont="1" applyFill="1" applyBorder="1" applyAlignment="1" applyProtection="1">
      <alignment horizontal="center" vertical="center"/>
      <protection hidden="1"/>
    </xf>
    <xf numFmtId="0" fontId="23" fillId="3" borderId="3" xfId="0" applyFont="1" applyFill="1" applyBorder="1" applyAlignment="1" applyProtection="1">
      <alignment horizontal="center" vertical="center"/>
      <protection locked="0"/>
    </xf>
    <xf numFmtId="0" fontId="65" fillId="0" borderId="0" xfId="0" applyFont="1" applyFill="1" applyBorder="1" applyAlignment="1" applyProtection="1">
      <alignment vertical="center"/>
      <protection hidden="1"/>
    </xf>
    <xf numFmtId="0" fontId="66" fillId="0" borderId="0" xfId="0" applyFont="1" applyFill="1" applyBorder="1" applyAlignment="1" applyProtection="1">
      <alignment horizontal="center" vertical="center"/>
      <protection hidden="1"/>
    </xf>
    <xf numFmtId="0" fontId="64" fillId="0" borderId="0" xfId="0" applyFont="1" applyFill="1" applyBorder="1" applyAlignment="1" applyProtection="1">
      <alignment vertical="center"/>
      <protection hidden="1"/>
    </xf>
    <xf numFmtId="184" fontId="66" fillId="3" borderId="2" xfId="16" applyNumberFormat="1" applyFont="1" applyFill="1" applyBorder="1" applyAlignment="1" applyProtection="1">
      <alignment horizontal="center" vertical="center"/>
      <protection hidden="1"/>
    </xf>
    <xf numFmtId="0" fontId="51" fillId="0" borderId="0" xfId="0" applyFont="1" applyFill="1" applyBorder="1" applyAlignment="1" applyProtection="1">
      <alignment horizontal="center"/>
      <protection hidden="1"/>
    </xf>
    <xf numFmtId="0" fontId="0" fillId="4" borderId="56" xfId="0" applyFill="1" applyBorder="1" applyAlignment="1" applyProtection="1">
      <alignment horizontal="center"/>
      <protection hidden="1"/>
    </xf>
    <xf numFmtId="0" fontId="0" fillId="4" borderId="52" xfId="0" applyFill="1" applyBorder="1" applyAlignment="1" applyProtection="1">
      <alignment horizontal="center"/>
      <protection hidden="1"/>
    </xf>
    <xf numFmtId="0" fontId="0" fillId="4" borderId="53" xfId="0" applyFill="1" applyBorder="1" applyAlignment="1" applyProtection="1">
      <alignment horizontal="center"/>
      <protection hidden="1"/>
    </xf>
    <xf numFmtId="0" fontId="0" fillId="3" borderId="52" xfId="0" applyFill="1" applyBorder="1" applyAlignment="1" applyProtection="1">
      <alignment horizontal="center"/>
      <protection hidden="1"/>
    </xf>
    <xf numFmtId="0" fontId="0" fillId="3" borderId="53" xfId="0" applyFill="1" applyBorder="1" applyAlignment="1" applyProtection="1">
      <alignment horizontal="center"/>
      <protection hidden="1"/>
    </xf>
    <xf numFmtId="0" fontId="51" fillId="0" borderId="0" xfId="0" applyFont="1" applyBorder="1" applyAlignment="1" applyProtection="1">
      <alignment horizontal="center"/>
      <protection hidden="1"/>
    </xf>
    <xf numFmtId="0" fontId="0" fillId="3" borderId="55" xfId="0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60" fillId="0" borderId="0" xfId="0" applyFont="1" applyFill="1" applyBorder="1" applyAlignment="1" applyProtection="1">
      <alignment/>
      <protection hidden="1"/>
    </xf>
    <xf numFmtId="0" fontId="64" fillId="0" borderId="0" xfId="0" applyFont="1" applyFill="1" applyBorder="1" applyAlignment="1" applyProtection="1">
      <alignment horizontal="center"/>
      <protection hidden="1"/>
    </xf>
    <xf numFmtId="0" fontId="60" fillId="0" borderId="0" xfId="0" applyFont="1" applyFill="1" applyBorder="1" applyAlignment="1" applyProtection="1">
      <alignment horizontal="center"/>
      <protection hidden="1"/>
    </xf>
    <xf numFmtId="0" fontId="31" fillId="0" borderId="0" xfId="0" applyFont="1" applyFill="1" applyBorder="1" applyAlignment="1" applyProtection="1">
      <alignment horizontal="center"/>
      <protection hidden="1"/>
    </xf>
    <xf numFmtId="0" fontId="62" fillId="0" borderId="0" xfId="0" applyFont="1" applyFill="1" applyBorder="1" applyAlignment="1" applyProtection="1">
      <alignment horizontal="center"/>
      <protection hidden="1"/>
    </xf>
    <xf numFmtId="0" fontId="11" fillId="0" borderId="0" xfId="0" applyFont="1" applyAlignment="1" applyProtection="1">
      <alignment horizontal="left"/>
      <protection hidden="1"/>
    </xf>
    <xf numFmtId="0" fontId="118" fillId="0" borderId="0" xfId="15" applyFont="1" applyAlignment="1" applyProtection="1">
      <alignment/>
      <protection locked="0"/>
    </xf>
    <xf numFmtId="0" fontId="120" fillId="0" borderId="0" xfId="0" applyFont="1" applyAlignment="1" applyProtection="1">
      <alignment horizontal="right"/>
      <protection hidden="1"/>
    </xf>
    <xf numFmtId="0" fontId="119" fillId="0" borderId="0" xfId="0" applyFont="1" applyAlignment="1" applyProtection="1">
      <alignment horizontal="right"/>
      <protection hidden="1"/>
    </xf>
    <xf numFmtId="0" fontId="121" fillId="0" borderId="0" xfId="0" applyFont="1" applyAlignment="1" applyProtection="1">
      <alignment horizontal="right" vertical="center"/>
      <protection hidden="1"/>
    </xf>
    <xf numFmtId="0" fontId="121" fillId="0" borderId="0" xfId="0" applyFont="1" applyAlignment="1" applyProtection="1">
      <alignment horizontal="right"/>
      <protection hidden="1"/>
    </xf>
    <xf numFmtId="0" fontId="130" fillId="4" borderId="2" xfId="0" applyFont="1" applyFill="1" applyBorder="1" applyAlignment="1" applyProtection="1">
      <alignment horizontal="center"/>
      <protection hidden="1"/>
    </xf>
    <xf numFmtId="0" fontId="124" fillId="4" borderId="2" xfId="0" applyFont="1" applyFill="1" applyBorder="1" applyAlignment="1" applyProtection="1">
      <alignment horizontal="center"/>
      <protection hidden="1"/>
    </xf>
    <xf numFmtId="0" fontId="0" fillId="4" borderId="1" xfId="0" applyFill="1" applyBorder="1" applyAlignment="1" applyProtection="1">
      <alignment horizontal="left" vertical="center"/>
      <protection hidden="1"/>
    </xf>
    <xf numFmtId="0" fontId="130" fillId="4" borderId="15" xfId="0" applyFont="1" applyFill="1" applyBorder="1" applyAlignment="1" applyProtection="1">
      <alignment horizontal="center" vertical="center"/>
      <protection hidden="1"/>
    </xf>
    <xf numFmtId="0" fontId="130" fillId="4" borderId="36" xfId="0" applyFont="1" applyFill="1" applyBorder="1" applyAlignment="1" applyProtection="1">
      <alignment horizontal="center"/>
      <protection hidden="1"/>
    </xf>
    <xf numFmtId="0" fontId="86" fillId="4" borderId="13" xfId="0" applyFont="1" applyFill="1" applyBorder="1" applyAlignment="1" applyProtection="1">
      <alignment horizontal="center"/>
      <protection hidden="1"/>
    </xf>
    <xf numFmtId="0" fontId="140" fillId="4" borderId="9" xfId="0" applyFont="1" applyFill="1" applyBorder="1" applyAlignment="1" applyProtection="1">
      <alignment horizontal="center"/>
      <protection hidden="1"/>
    </xf>
    <xf numFmtId="0" fontId="130" fillId="4" borderId="3" xfId="0" applyFont="1" applyFill="1" applyBorder="1" applyAlignment="1" applyProtection="1">
      <alignment horizontal="center"/>
      <protection hidden="1"/>
    </xf>
    <xf numFmtId="0" fontId="77" fillId="4" borderId="50" xfId="0" applyFont="1" applyFill="1" applyBorder="1" applyAlignment="1" applyProtection="1">
      <alignment horizontal="center"/>
      <protection hidden="1"/>
    </xf>
    <xf numFmtId="0" fontId="130" fillId="4" borderId="37" xfId="0" applyFont="1" applyFill="1" applyBorder="1" applyAlignment="1" applyProtection="1">
      <alignment horizontal="center"/>
      <protection hidden="1"/>
    </xf>
    <xf numFmtId="0" fontId="130" fillId="4" borderId="53" xfId="0" applyFont="1" applyFill="1" applyBorder="1" applyAlignment="1" applyProtection="1">
      <alignment horizontal="center"/>
      <protection hidden="1"/>
    </xf>
    <xf numFmtId="0" fontId="5" fillId="4" borderId="30" xfId="0" applyFont="1" applyFill="1" applyBorder="1" applyAlignment="1" applyProtection="1">
      <alignment horizontal="center"/>
      <protection hidden="1"/>
    </xf>
    <xf numFmtId="0" fontId="130" fillId="4" borderId="6" xfId="0" applyFont="1" applyFill="1" applyBorder="1" applyAlignment="1" applyProtection="1">
      <alignment horizontal="center"/>
      <protection hidden="1"/>
    </xf>
    <xf numFmtId="0" fontId="137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130" fillId="0" borderId="0" xfId="0" applyFont="1" applyFill="1" applyBorder="1" applyAlignment="1" applyProtection="1">
      <alignment horizontal="center"/>
      <protection hidden="1"/>
    </xf>
    <xf numFmtId="0" fontId="130" fillId="4" borderId="14" xfId="0" applyFont="1" applyFill="1" applyBorder="1" applyAlignment="1" applyProtection="1">
      <alignment horizontal="right"/>
      <protection hidden="1"/>
    </xf>
    <xf numFmtId="0" fontId="130" fillId="4" borderId="23" xfId="0" applyFont="1" applyFill="1" applyBorder="1" applyAlignment="1" applyProtection="1">
      <alignment horizontal="right"/>
      <protection hidden="1"/>
    </xf>
    <xf numFmtId="0" fontId="31" fillId="4" borderId="13" xfId="0" applyFont="1" applyFill="1" applyBorder="1" applyAlignment="1" applyProtection="1">
      <alignment horizontal="center"/>
      <protection hidden="1"/>
    </xf>
    <xf numFmtId="0" fontId="145" fillId="4" borderId="23" xfId="0" applyFont="1" applyFill="1" applyBorder="1" applyAlignment="1" applyProtection="1">
      <alignment horizontal="right"/>
      <protection hidden="1"/>
    </xf>
    <xf numFmtId="0" fontId="145" fillId="4" borderId="8" xfId="0" applyFont="1" applyFill="1" applyBorder="1" applyAlignment="1" applyProtection="1">
      <alignment horizontal="right"/>
      <protection hidden="1"/>
    </xf>
    <xf numFmtId="0" fontId="124" fillId="4" borderId="13" xfId="0" applyFont="1" applyFill="1" applyBorder="1" applyAlignment="1" applyProtection="1">
      <alignment horizontal="right"/>
      <protection hidden="1"/>
    </xf>
    <xf numFmtId="0" fontId="130" fillId="4" borderId="13" xfId="0" applyFont="1" applyFill="1" applyBorder="1" applyAlignment="1" applyProtection="1">
      <alignment horizontal="right"/>
      <protection hidden="1"/>
    </xf>
    <xf numFmtId="0" fontId="145" fillId="4" borderId="2" xfId="0" applyFont="1" applyFill="1" applyBorder="1" applyAlignment="1" applyProtection="1">
      <alignment horizontal="center"/>
      <protection hidden="1"/>
    </xf>
    <xf numFmtId="0" fontId="145" fillId="4" borderId="13" xfId="0" applyFont="1" applyFill="1" applyBorder="1" applyAlignment="1" applyProtection="1">
      <alignment horizontal="right"/>
      <protection hidden="1"/>
    </xf>
    <xf numFmtId="0" fontId="8" fillId="4" borderId="13" xfId="0" applyFont="1" applyFill="1" applyBorder="1" applyAlignment="1" applyProtection="1">
      <alignment horizontal="right"/>
      <protection hidden="1"/>
    </xf>
    <xf numFmtId="0" fontId="125" fillId="4" borderId="4" xfId="0" applyFont="1" applyFill="1" applyBorder="1" applyAlignment="1" applyProtection="1">
      <alignment horizontal="right"/>
      <protection hidden="1"/>
    </xf>
    <xf numFmtId="0" fontId="147" fillId="4" borderId="14" xfId="0" applyFont="1" applyFill="1" applyBorder="1" applyAlignment="1" applyProtection="1">
      <alignment horizontal="right"/>
      <protection hidden="1"/>
    </xf>
    <xf numFmtId="0" fontId="147" fillId="4" borderId="23" xfId="0" applyFont="1" applyFill="1" applyBorder="1" applyAlignment="1" applyProtection="1" quotePrefix="1">
      <alignment horizontal="right"/>
      <protection hidden="1"/>
    </xf>
    <xf numFmtId="0" fontId="125" fillId="4" borderId="8" xfId="0" applyFont="1" applyFill="1" applyBorder="1" applyAlignment="1" applyProtection="1">
      <alignment horizontal="right"/>
      <protection hidden="1"/>
    </xf>
    <xf numFmtId="0" fontId="125" fillId="4" borderId="13" xfId="0" applyFont="1" applyFill="1" applyBorder="1" applyAlignment="1" applyProtection="1">
      <alignment horizontal="right"/>
      <protection hidden="1"/>
    </xf>
    <xf numFmtId="0" fontId="147" fillId="4" borderId="4" xfId="0" applyFont="1" applyFill="1" applyBorder="1" applyAlignment="1" applyProtection="1">
      <alignment horizontal="right"/>
      <protection hidden="1"/>
    </xf>
    <xf numFmtId="0" fontId="130" fillId="4" borderId="13" xfId="0" applyFont="1" applyFill="1" applyBorder="1" applyAlignment="1" applyProtection="1">
      <alignment/>
      <protection hidden="1"/>
    </xf>
    <xf numFmtId="0" fontId="130" fillId="4" borderId="27" xfId="0" applyFont="1" applyFill="1" applyBorder="1" applyAlignment="1" applyProtection="1">
      <alignment horizontal="center"/>
      <protection hidden="1"/>
    </xf>
    <xf numFmtId="0" fontId="145" fillId="4" borderId="24" xfId="0" applyFont="1" applyFill="1" applyBorder="1" applyAlignment="1" applyProtection="1">
      <alignment horizontal="right"/>
      <protection hidden="1"/>
    </xf>
    <xf numFmtId="0" fontId="124" fillId="4" borderId="24" xfId="0" applyFont="1" applyFill="1" applyBorder="1" applyAlignment="1" applyProtection="1">
      <alignment horizontal="center"/>
      <protection hidden="1"/>
    </xf>
    <xf numFmtId="0" fontId="130" fillId="4" borderId="49" xfId="0" applyFont="1" applyFill="1" applyBorder="1" applyAlignment="1" applyProtection="1">
      <alignment horizontal="center"/>
      <protection hidden="1"/>
    </xf>
    <xf numFmtId="0" fontId="130" fillId="0" borderId="0" xfId="0" applyFont="1" applyAlignment="1" applyProtection="1">
      <alignment horizontal="right"/>
      <protection hidden="1"/>
    </xf>
    <xf numFmtId="0" fontId="135" fillId="0" borderId="0" xfId="0" applyFont="1" applyAlignment="1" applyProtection="1">
      <alignment horizontal="right"/>
      <protection hidden="1"/>
    </xf>
    <xf numFmtId="0" fontId="130" fillId="4" borderId="57" xfId="0" applyFont="1" applyFill="1" applyBorder="1" applyAlignment="1" applyProtection="1">
      <alignment horizontal="center"/>
      <protection hidden="1"/>
    </xf>
    <xf numFmtId="0" fontId="130" fillId="4" borderId="31" xfId="0" applyFont="1" applyFill="1" applyBorder="1" applyAlignment="1" applyProtection="1">
      <alignment horizontal="center"/>
      <protection hidden="1"/>
    </xf>
    <xf numFmtId="0" fontId="130" fillId="4" borderId="12" xfId="0" applyFont="1" applyFill="1" applyBorder="1" applyAlignment="1" applyProtection="1">
      <alignment horizontal="center"/>
      <protection hidden="1"/>
    </xf>
    <xf numFmtId="0" fontId="130" fillId="4" borderId="5" xfId="0" applyFont="1" applyFill="1" applyBorder="1" applyAlignment="1" applyProtection="1">
      <alignment horizontal="center"/>
      <protection hidden="1"/>
    </xf>
    <xf numFmtId="0" fontId="130" fillId="4" borderId="7" xfId="0" applyFont="1" applyFill="1" applyBorder="1" applyAlignment="1" applyProtection="1">
      <alignment horizontal="center"/>
      <protection hidden="1"/>
    </xf>
    <xf numFmtId="0" fontId="145" fillId="4" borderId="5" xfId="0" applyFont="1" applyFill="1" applyBorder="1" applyAlignment="1" applyProtection="1">
      <alignment horizontal="center"/>
      <protection hidden="1"/>
    </xf>
    <xf numFmtId="0" fontId="145" fillId="4" borderId="12" xfId="0" applyFont="1" applyFill="1" applyBorder="1" applyAlignment="1" applyProtection="1">
      <alignment horizontal="center"/>
      <protection hidden="1"/>
    </xf>
    <xf numFmtId="0" fontId="23" fillId="2" borderId="8" xfId="0" applyFont="1" applyFill="1" applyBorder="1" applyAlignment="1" applyProtection="1">
      <alignment horizontal="center" vertical="center"/>
      <protection locked="0"/>
    </xf>
    <xf numFmtId="0" fontId="7" fillId="4" borderId="14" xfId="0" applyFont="1" applyFill="1" applyBorder="1" applyAlignment="1" applyProtection="1">
      <alignment vertical="center"/>
      <protection hidden="1"/>
    </xf>
    <xf numFmtId="0" fontId="147" fillId="4" borderId="13" xfId="0" applyFont="1" applyFill="1" applyBorder="1" applyAlignment="1" applyProtection="1">
      <alignment horizontal="right" vertical="center"/>
      <protection hidden="1"/>
    </xf>
    <xf numFmtId="0" fontId="140" fillId="4" borderId="14" xfId="0" applyFont="1" applyFill="1" applyBorder="1" applyAlignment="1" applyProtection="1">
      <alignment horizontal="right"/>
      <protection hidden="1"/>
    </xf>
    <xf numFmtId="0" fontId="145" fillId="4" borderId="14" xfId="0" applyFont="1" applyFill="1" applyBorder="1" applyAlignment="1" applyProtection="1">
      <alignment horizontal="right" vertical="center"/>
      <protection hidden="1"/>
    </xf>
    <xf numFmtId="0" fontId="125" fillId="4" borderId="14" xfId="0" applyFont="1" applyFill="1" applyBorder="1" applyAlignment="1" applyProtection="1">
      <alignment horizontal="right" vertical="center"/>
      <protection hidden="1"/>
    </xf>
    <xf numFmtId="0" fontId="147" fillId="4" borderId="13" xfId="0" applyFont="1" applyFill="1" applyBorder="1" applyAlignment="1" applyProtection="1">
      <alignment horizontal="center"/>
      <protection hidden="1"/>
    </xf>
    <xf numFmtId="0" fontId="147" fillId="0" borderId="0" xfId="0" applyFont="1" applyFill="1" applyBorder="1" applyAlignment="1" applyProtection="1">
      <alignment horizontal="center" vertical="center"/>
      <protection hidden="1"/>
    </xf>
    <xf numFmtId="0" fontId="130" fillId="0" borderId="0" xfId="0" applyFont="1" applyFill="1" applyBorder="1" applyAlignment="1" applyProtection="1">
      <alignment horizontal="center" vertical="center"/>
      <protection hidden="1"/>
    </xf>
    <xf numFmtId="0" fontId="125" fillId="4" borderId="14" xfId="0" applyFont="1" applyFill="1" applyBorder="1" applyAlignment="1" applyProtection="1">
      <alignment horizontal="right"/>
      <protection hidden="1"/>
    </xf>
    <xf numFmtId="0" fontId="145" fillId="4" borderId="23" xfId="0" applyFont="1" applyFill="1" applyBorder="1" applyAlignment="1" applyProtection="1">
      <alignment horizontal="right" vertical="center"/>
      <protection hidden="1"/>
    </xf>
    <xf numFmtId="0" fontId="145" fillId="4" borderId="8" xfId="0" applyFont="1" applyFill="1" applyBorder="1" applyAlignment="1" applyProtection="1">
      <alignment horizontal="right" vertical="center"/>
      <protection hidden="1"/>
    </xf>
    <xf numFmtId="0" fontId="130" fillId="4" borderId="2" xfId="0" applyFont="1" applyFill="1" applyBorder="1" applyAlignment="1" applyProtection="1">
      <alignment horizontal="right"/>
      <protection hidden="1"/>
    </xf>
    <xf numFmtId="0" fontId="145" fillId="4" borderId="2" xfId="0" applyFont="1" applyFill="1" applyBorder="1" applyAlignment="1" applyProtection="1">
      <alignment horizontal="right"/>
      <protection hidden="1"/>
    </xf>
    <xf numFmtId="0" fontId="124" fillId="4" borderId="2" xfId="0" applyFont="1" applyFill="1" applyBorder="1" applyAlignment="1" applyProtection="1">
      <alignment horizontal="right"/>
      <protection hidden="1"/>
    </xf>
    <xf numFmtId="0" fontId="147" fillId="4" borderId="13" xfId="0" applyFont="1" applyFill="1" applyBorder="1" applyAlignment="1" applyProtection="1">
      <alignment horizontal="right"/>
      <protection hidden="1"/>
    </xf>
    <xf numFmtId="0" fontId="125" fillId="4" borderId="2" xfId="0" applyFont="1" applyFill="1" applyBorder="1" applyAlignment="1" applyProtection="1">
      <alignment horizontal="right"/>
      <protection hidden="1"/>
    </xf>
    <xf numFmtId="0" fontId="147" fillId="4" borderId="2" xfId="0" applyFont="1" applyFill="1" applyBorder="1" applyAlignment="1" applyProtection="1">
      <alignment horizontal="right"/>
      <protection hidden="1"/>
    </xf>
    <xf numFmtId="0" fontId="123" fillId="4" borderId="13" xfId="0" applyFont="1" applyFill="1" applyBorder="1" applyAlignment="1" applyProtection="1">
      <alignment horizontal="right" vertical="center"/>
      <protection hidden="1"/>
    </xf>
    <xf numFmtId="0" fontId="123" fillId="4" borderId="2" xfId="0" applyFont="1" applyFill="1" applyBorder="1" applyAlignment="1" applyProtection="1">
      <alignment horizontal="right" vertical="center"/>
      <protection hidden="1"/>
    </xf>
    <xf numFmtId="0" fontId="123" fillId="4" borderId="2" xfId="0" applyFont="1" applyFill="1" applyBorder="1" applyAlignment="1" applyProtection="1">
      <alignment horizontal="right"/>
      <protection hidden="1"/>
    </xf>
    <xf numFmtId="0" fontId="0" fillId="0" borderId="0" xfId="0" applyFill="1" applyBorder="1" applyAlignment="1" applyProtection="1">
      <alignment horizontal="right" vertical="center"/>
      <protection hidden="1"/>
    </xf>
    <xf numFmtId="0" fontId="5" fillId="4" borderId="2" xfId="0" applyFont="1" applyFill="1" applyBorder="1" applyAlignment="1" applyProtection="1">
      <alignment horizontal="right"/>
      <protection hidden="1"/>
    </xf>
    <xf numFmtId="0" fontId="0" fillId="0" borderId="0" xfId="0" applyFill="1" applyBorder="1" applyAlignment="1" applyProtection="1">
      <alignment horizontal="right"/>
      <protection hidden="1"/>
    </xf>
    <xf numFmtId="0" fontId="10" fillId="4" borderId="2" xfId="0" applyFont="1" applyFill="1" applyBorder="1" applyAlignment="1" applyProtection="1">
      <alignment horizontal="right" vertical="center"/>
      <protection hidden="1"/>
    </xf>
    <xf numFmtId="0" fontId="0" fillId="0" borderId="0" xfId="0" applyAlignment="1" applyProtection="1">
      <alignment horizontal="right"/>
      <protection hidden="1"/>
    </xf>
    <xf numFmtId="0" fontId="1" fillId="2" borderId="0" xfId="0" applyFont="1" applyFill="1" applyBorder="1" applyAlignment="1" applyProtection="1">
      <alignment horizontal="right" vertical="center"/>
      <protection hidden="1"/>
    </xf>
    <xf numFmtId="0" fontId="125" fillId="4" borderId="2" xfId="0" applyFont="1" applyFill="1" applyBorder="1" applyAlignment="1" applyProtection="1">
      <alignment horizontal="right" vertical="top"/>
      <protection hidden="1"/>
    </xf>
    <xf numFmtId="0" fontId="124" fillId="4" borderId="0" xfId="0" applyFont="1" applyFill="1" applyAlignment="1" applyProtection="1">
      <alignment horizontal="right"/>
      <protection hidden="1"/>
    </xf>
    <xf numFmtId="0" fontId="130" fillId="4" borderId="3" xfId="0" applyFont="1" applyFill="1" applyBorder="1" applyAlignment="1" applyProtection="1">
      <alignment horizontal="right"/>
      <protection hidden="1"/>
    </xf>
    <xf numFmtId="0" fontId="130" fillId="4" borderId="36" xfId="0" applyFont="1" applyFill="1" applyBorder="1" applyAlignment="1" applyProtection="1">
      <alignment horizontal="right"/>
      <protection hidden="1"/>
    </xf>
    <xf numFmtId="0" fontId="137" fillId="4" borderId="58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0" fontId="130" fillId="4" borderId="2" xfId="0" applyFont="1" applyFill="1" applyBorder="1" applyAlignment="1" applyProtection="1" quotePrefix="1">
      <alignment horizontal="right"/>
      <protection hidden="1"/>
    </xf>
    <xf numFmtId="0" fontId="130" fillId="4" borderId="16" xfId="0" applyFont="1" applyFill="1" applyBorder="1" applyAlignment="1" applyProtection="1">
      <alignment horizontal="right"/>
      <protection hidden="1"/>
    </xf>
    <xf numFmtId="0" fontId="130" fillId="4" borderId="17" xfId="0" applyFont="1" applyFill="1" applyBorder="1" applyAlignment="1" applyProtection="1">
      <alignment horizontal="right"/>
      <protection hidden="1"/>
    </xf>
    <xf numFmtId="0" fontId="5" fillId="4" borderId="12" xfId="0" applyFont="1" applyFill="1" applyBorder="1" applyAlignment="1" applyProtection="1">
      <alignment horizontal="right"/>
      <protection hidden="1"/>
    </xf>
    <xf numFmtId="0" fontId="130" fillId="4" borderId="20" xfId="0" applyFont="1" applyFill="1" applyBorder="1" applyAlignment="1" applyProtection="1">
      <alignment horizontal="right"/>
      <protection hidden="1"/>
    </xf>
    <xf numFmtId="0" fontId="130" fillId="4" borderId="0" xfId="0" applyFont="1" applyFill="1" applyAlignment="1" applyProtection="1">
      <alignment horizontal="right"/>
      <protection hidden="1"/>
    </xf>
    <xf numFmtId="0" fontId="10" fillId="4" borderId="12" xfId="0" applyFont="1" applyFill="1" applyBorder="1" applyAlignment="1" applyProtection="1">
      <alignment horizontal="right"/>
      <protection hidden="1"/>
    </xf>
    <xf numFmtId="0" fontId="130" fillId="4" borderId="12" xfId="0" applyFont="1" applyFill="1" applyBorder="1" applyAlignment="1" applyProtection="1">
      <alignment horizontal="right"/>
      <protection hidden="1"/>
    </xf>
    <xf numFmtId="0" fontId="130" fillId="4" borderId="5" xfId="0" applyFont="1" applyFill="1" applyBorder="1" applyAlignment="1" applyProtection="1">
      <alignment horizontal="right"/>
      <protection hidden="1"/>
    </xf>
    <xf numFmtId="0" fontId="130" fillId="4" borderId="12" xfId="0" applyFont="1" applyFill="1" applyBorder="1" applyAlignment="1" applyProtection="1">
      <alignment horizontal="center" vertical="center"/>
      <protection hidden="1"/>
    </xf>
    <xf numFmtId="0" fontId="130" fillId="4" borderId="14" xfId="0" applyFont="1" applyFill="1" applyBorder="1" applyAlignment="1" applyProtection="1">
      <alignment horizontal="center"/>
      <protection hidden="1"/>
    </xf>
    <xf numFmtId="0" fontId="154" fillId="3" borderId="12" xfId="0" applyFont="1" applyFill="1" applyBorder="1" applyAlignment="1" applyProtection="1">
      <alignment horizontal="center"/>
      <protection hidden="1"/>
    </xf>
    <xf numFmtId="0" fontId="145" fillId="4" borderId="12" xfId="0" applyFont="1" applyFill="1" applyBorder="1" applyAlignment="1" applyProtection="1">
      <alignment horizontal="center" vertical="center"/>
      <protection hidden="1"/>
    </xf>
    <xf numFmtId="0" fontId="12" fillId="4" borderId="12" xfId="0" applyFont="1" applyFill="1" applyBorder="1" applyAlignment="1" applyProtection="1">
      <alignment horizontal="center"/>
      <protection hidden="1"/>
    </xf>
    <xf numFmtId="0" fontId="130" fillId="4" borderId="40" xfId="0" applyFont="1" applyFill="1" applyBorder="1" applyAlignment="1" applyProtection="1">
      <alignment horizontal="center" vertical="center"/>
      <protection hidden="1"/>
    </xf>
    <xf numFmtId="0" fontId="10" fillId="3" borderId="59" xfId="0" applyFont="1" applyFill="1" applyBorder="1" applyAlignment="1" applyProtection="1">
      <alignment horizontal="center" vertical="center"/>
      <protection hidden="1"/>
    </xf>
    <xf numFmtId="0" fontId="157" fillId="4" borderId="20" xfId="0" applyFont="1" applyFill="1" applyBorder="1" applyAlignment="1" applyProtection="1">
      <alignment horizontal="right" vertical="center"/>
      <protection hidden="1"/>
    </xf>
    <xf numFmtId="0" fontId="10" fillId="4" borderId="58" xfId="0" applyFont="1" applyFill="1" applyBorder="1" applyAlignment="1" applyProtection="1">
      <alignment horizontal="right" vertical="center"/>
      <protection hidden="1"/>
    </xf>
    <xf numFmtId="0" fontId="130" fillId="4" borderId="39" xfId="0" applyFont="1" applyFill="1" applyBorder="1" applyAlignment="1" applyProtection="1">
      <alignment horizontal="center" vertical="center"/>
      <protection hidden="1"/>
    </xf>
    <xf numFmtId="0" fontId="130" fillId="4" borderId="39" xfId="0" applyFont="1" applyFill="1" applyBorder="1" applyAlignment="1" applyProtection="1">
      <alignment horizontal="right"/>
      <protection hidden="1"/>
    </xf>
    <xf numFmtId="0" fontId="10" fillId="3" borderId="14" xfId="0" applyFont="1" applyFill="1" applyBorder="1" applyAlignment="1" applyProtection="1">
      <alignment horizontal="center" vertical="center"/>
      <protection hidden="1"/>
    </xf>
    <xf numFmtId="0" fontId="10" fillId="3" borderId="23" xfId="0" applyNumberFormat="1" applyFont="1" applyFill="1" applyBorder="1" applyAlignment="1" applyProtection="1">
      <alignment horizontal="center" vertical="center"/>
      <protection hidden="1"/>
    </xf>
    <xf numFmtId="0" fontId="130" fillId="4" borderId="0" xfId="0" applyFont="1" applyFill="1" applyBorder="1" applyAlignment="1" applyProtection="1">
      <alignment horizontal="right"/>
      <protection hidden="1"/>
    </xf>
    <xf numFmtId="0" fontId="145" fillId="4" borderId="39" xfId="0" applyFont="1" applyFill="1" applyBorder="1" applyAlignment="1" applyProtection="1">
      <alignment horizontal="center"/>
      <protection hidden="1"/>
    </xf>
    <xf numFmtId="0" fontId="130" fillId="4" borderId="41" xfId="0" applyFont="1" applyFill="1" applyBorder="1" applyAlignment="1" applyProtection="1">
      <alignment horizontal="center" vertical="center"/>
      <protection hidden="1"/>
    </xf>
    <xf numFmtId="0" fontId="77" fillId="3" borderId="14" xfId="0" applyFont="1" applyFill="1" applyBorder="1" applyAlignment="1" applyProtection="1">
      <alignment horizontal="center" vertical="center"/>
      <protection hidden="1"/>
    </xf>
    <xf numFmtId="0" fontId="130" fillId="4" borderId="5" xfId="0" applyFont="1" applyFill="1" applyBorder="1" applyAlignment="1" applyProtection="1">
      <alignment horizontal="center" vertical="center"/>
      <protection hidden="1"/>
    </xf>
    <xf numFmtId="0" fontId="130" fillId="4" borderId="2" xfId="0" applyFont="1" applyFill="1" applyBorder="1" applyAlignment="1" applyProtection="1">
      <alignment horizontal="center" vertical="center"/>
      <protection hidden="1"/>
    </xf>
    <xf numFmtId="0" fontId="130" fillId="4" borderId="58" xfId="0" applyFont="1" applyFill="1" applyBorder="1" applyAlignment="1" applyProtection="1">
      <alignment horizontal="center" vertical="center"/>
      <protection hidden="1"/>
    </xf>
    <xf numFmtId="0" fontId="130" fillId="4" borderId="9" xfId="0" applyFont="1" applyFill="1" applyBorder="1" applyAlignment="1" applyProtection="1">
      <alignment horizontal="center" vertical="center"/>
      <protection hidden="1"/>
    </xf>
    <xf numFmtId="0" fontId="130" fillId="4" borderId="22" xfId="0" applyFont="1" applyFill="1" applyBorder="1" applyAlignment="1" applyProtection="1">
      <alignment horizontal="center"/>
      <protection hidden="1"/>
    </xf>
    <xf numFmtId="0" fontId="10" fillId="3" borderId="21" xfId="0" applyFont="1" applyFill="1" applyBorder="1" applyAlignment="1" applyProtection="1">
      <alignment horizontal="center" vertical="center"/>
      <protection hidden="1"/>
    </xf>
    <xf numFmtId="0" fontId="145" fillId="4" borderId="41" xfId="0" applyFont="1" applyFill="1" applyBorder="1" applyAlignment="1" applyProtection="1">
      <alignment horizontal="center" vertical="center"/>
      <protection hidden="1"/>
    </xf>
    <xf numFmtId="0" fontId="8" fillId="3" borderId="7" xfId="0" applyFont="1" applyFill="1" applyBorder="1" applyAlignment="1" applyProtection="1">
      <alignment horizontal="center" vertical="center"/>
      <protection hidden="1"/>
    </xf>
    <xf numFmtId="0" fontId="145" fillId="4" borderId="5" xfId="0" applyFont="1" applyFill="1" applyBorder="1" applyAlignment="1" applyProtection="1">
      <alignment horizontal="center" vertical="center"/>
      <protection hidden="1"/>
    </xf>
    <xf numFmtId="0" fontId="130" fillId="4" borderId="39" xfId="0" applyFont="1" applyFill="1" applyBorder="1" applyAlignment="1" applyProtection="1">
      <alignment horizontal="center"/>
      <protection hidden="1"/>
    </xf>
    <xf numFmtId="0" fontId="89" fillId="0" borderId="13" xfId="0" applyFont="1" applyFill="1" applyBorder="1" applyAlignment="1" applyProtection="1">
      <alignment horizontal="center" vertical="center"/>
      <protection hidden="1"/>
    </xf>
    <xf numFmtId="0" fontId="156" fillId="4" borderId="3" xfId="0" applyFont="1" applyFill="1" applyBorder="1" applyAlignment="1" applyProtection="1">
      <alignment horizontal="center"/>
      <protection hidden="1"/>
    </xf>
    <xf numFmtId="0" fontId="46" fillId="3" borderId="17" xfId="0" applyFont="1" applyFill="1" applyBorder="1" applyAlignment="1" applyProtection="1">
      <alignment horizontal="center" vertical="center"/>
      <protection hidden="1"/>
    </xf>
    <xf numFmtId="0" fontId="0" fillId="0" borderId="35" xfId="0" applyBorder="1" applyAlignment="1" applyProtection="1">
      <alignment/>
      <protection hidden="1"/>
    </xf>
    <xf numFmtId="0" fontId="0" fillId="0" borderId="35" xfId="0" applyBorder="1" applyAlignment="1" applyProtection="1">
      <alignment horizontal="center" vertical="center"/>
      <protection hidden="1"/>
    </xf>
    <xf numFmtId="0" fontId="157" fillId="4" borderId="49" xfId="0" applyFont="1" applyFill="1" applyBorder="1" applyAlignment="1" applyProtection="1">
      <alignment horizontal="right" vertical="center"/>
      <protection hidden="1"/>
    </xf>
    <xf numFmtId="0" fontId="130" fillId="4" borderId="60" xfId="0" applyFont="1" applyFill="1" applyBorder="1" applyAlignment="1" applyProtection="1">
      <alignment horizontal="right"/>
      <protection hidden="1"/>
    </xf>
    <xf numFmtId="0" fontId="10" fillId="3" borderId="61" xfId="0" applyFont="1" applyFill="1" applyBorder="1" applyAlignment="1" applyProtection="1">
      <alignment horizontal="center" vertical="center"/>
      <protection hidden="1"/>
    </xf>
    <xf numFmtId="0" fontId="10" fillId="3" borderId="25" xfId="0" applyFont="1" applyFill="1" applyBorder="1" applyAlignment="1" applyProtection="1">
      <alignment horizontal="center" vertical="center"/>
      <protection hidden="1"/>
    </xf>
    <xf numFmtId="0" fontId="130" fillId="4" borderId="9" xfId="0" applyFont="1" applyFill="1" applyBorder="1" applyAlignment="1" applyProtection="1">
      <alignment horizontal="right"/>
      <protection hidden="1"/>
    </xf>
    <xf numFmtId="0" fontId="35" fillId="0" borderId="50" xfId="0" applyNumberFormat="1" applyFont="1" applyFill="1" applyBorder="1" applyAlignment="1" applyProtection="1">
      <alignment horizontal="center" vertical="center"/>
      <protection hidden="1"/>
    </xf>
    <xf numFmtId="0" fontId="5" fillId="4" borderId="41" xfId="0" applyFont="1" applyFill="1" applyBorder="1" applyAlignment="1" applyProtection="1">
      <alignment horizontal="center"/>
      <protection hidden="1"/>
    </xf>
    <xf numFmtId="0" fontId="130" fillId="4" borderId="9" xfId="0" applyFont="1" applyFill="1" applyBorder="1" applyAlignment="1" applyProtection="1">
      <alignment horizontal="center"/>
      <protection hidden="1"/>
    </xf>
    <xf numFmtId="0" fontId="130" fillId="4" borderId="41" xfId="0" applyFont="1" applyFill="1" applyBorder="1" applyAlignment="1" applyProtection="1">
      <alignment horizontal="center"/>
      <protection hidden="1"/>
    </xf>
    <xf numFmtId="0" fontId="156" fillId="4" borderId="37" xfId="0" applyFont="1" applyFill="1" applyBorder="1" applyAlignment="1" applyProtection="1">
      <alignment horizontal="center"/>
      <protection hidden="1"/>
    </xf>
    <xf numFmtId="171" fontId="7" fillId="0" borderId="0" xfId="20" applyFont="1" applyAlignment="1" applyProtection="1">
      <alignment/>
      <protection/>
    </xf>
    <xf numFmtId="171" fontId="6" fillId="0" borderId="0" xfId="20" applyFont="1" applyAlignment="1" applyProtection="1">
      <alignment/>
      <protection/>
    </xf>
    <xf numFmtId="0" fontId="145" fillId="4" borderId="13" xfId="0" applyFont="1" applyFill="1" applyBorder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40" fillId="3" borderId="16" xfId="0" applyFont="1" applyFill="1" applyBorder="1" applyAlignment="1" applyProtection="1">
      <alignment horizontal="center" vertical="center"/>
      <protection hidden="1"/>
    </xf>
    <xf numFmtId="0" fontId="81" fillId="2" borderId="1" xfId="0" applyNumberFormat="1" applyFont="1" applyFill="1" applyBorder="1" applyAlignment="1" applyProtection="1">
      <alignment horizontal="center" vertical="center"/>
      <protection locked="0"/>
    </xf>
    <xf numFmtId="0" fontId="81" fillId="2" borderId="6" xfId="0" applyNumberFormat="1" applyFont="1" applyFill="1" applyBorder="1" applyAlignment="1" applyProtection="1">
      <alignment horizontal="center" vertical="center"/>
      <protection locked="0"/>
    </xf>
    <xf numFmtId="0" fontId="10" fillId="3" borderId="1" xfId="0" applyFont="1" applyFill="1" applyBorder="1" applyAlignment="1" applyProtection="1">
      <alignment horizontal="center" vertical="center"/>
      <protection hidden="1"/>
    </xf>
    <xf numFmtId="10" fontId="41" fillId="0" borderId="0" xfId="16" applyNumberFormat="1" applyFont="1" applyBorder="1" applyAlignment="1" applyProtection="1">
      <alignment horizontal="center" vertical="center"/>
      <protection hidden="1"/>
    </xf>
    <xf numFmtId="0" fontId="41" fillId="0" borderId="0" xfId="0" applyFont="1" applyBorder="1" applyAlignment="1" applyProtection="1">
      <alignment horizontal="center" vertical="center"/>
      <protection hidden="1"/>
    </xf>
    <xf numFmtId="0" fontId="102" fillId="4" borderId="13" xfId="0" applyFont="1" applyFill="1" applyBorder="1" applyAlignment="1" applyProtection="1">
      <alignment horizontal="right" vertical="center"/>
      <protection hidden="1"/>
    </xf>
    <xf numFmtId="0" fontId="133" fillId="4" borderId="3" xfId="0" applyFont="1" applyFill="1" applyBorder="1" applyAlignment="1" applyProtection="1">
      <alignment horizontal="right" vertical="center"/>
      <protection hidden="1"/>
    </xf>
    <xf numFmtId="0" fontId="80" fillId="5" borderId="0" xfId="0" applyFont="1" applyFill="1" applyAlignment="1" applyProtection="1">
      <alignment horizontal="right" vertical="center"/>
      <protection hidden="1"/>
    </xf>
    <xf numFmtId="0" fontId="147" fillId="4" borderId="2" xfId="0" applyFont="1" applyFill="1" applyBorder="1" applyAlignment="1" applyProtection="1">
      <alignment horizontal="right" vertical="center"/>
      <protection hidden="1"/>
    </xf>
    <xf numFmtId="0" fontId="130" fillId="4" borderId="12" xfId="0" applyFont="1" applyFill="1" applyBorder="1" applyAlignment="1" applyProtection="1">
      <alignment horizontal="right" vertical="center"/>
      <protection hidden="1"/>
    </xf>
    <xf numFmtId="0" fontId="130" fillId="4" borderId="4" xfId="0" applyFont="1" applyFill="1" applyBorder="1" applyAlignment="1" applyProtection="1">
      <alignment horizontal="right"/>
      <protection hidden="1"/>
    </xf>
    <xf numFmtId="0" fontId="125" fillId="4" borderId="4" xfId="0" applyFont="1" applyFill="1" applyBorder="1" applyAlignment="1" applyProtection="1">
      <alignment horizontal="center" vertical="center"/>
      <protection hidden="1"/>
    </xf>
    <xf numFmtId="0" fontId="140" fillId="4" borderId="13" xfId="0" applyFont="1" applyFill="1" applyBorder="1" applyAlignment="1" applyProtection="1">
      <alignment horizontal="right"/>
      <protection hidden="1"/>
    </xf>
    <xf numFmtId="0" fontId="135" fillId="4" borderId="21" xfId="0" applyFont="1" applyFill="1" applyBorder="1" applyAlignment="1" applyProtection="1">
      <alignment horizontal="right"/>
      <protection hidden="1"/>
    </xf>
    <xf numFmtId="0" fontId="135" fillId="4" borderId="4" xfId="0" applyFont="1" applyFill="1" applyBorder="1" applyAlignment="1" applyProtection="1">
      <alignment horizontal="right"/>
      <protection hidden="1"/>
    </xf>
    <xf numFmtId="0" fontId="125" fillId="4" borderId="21" xfId="0" applyFont="1" applyFill="1" applyBorder="1" applyAlignment="1" applyProtection="1">
      <alignment horizontal="right"/>
      <protection hidden="1"/>
    </xf>
    <xf numFmtId="0" fontId="145" fillId="4" borderId="2" xfId="0" applyFont="1" applyFill="1" applyBorder="1" applyAlignment="1" applyProtection="1">
      <alignment horizontal="center" vertical="center"/>
      <protection hidden="1"/>
    </xf>
    <xf numFmtId="0" fontId="135" fillId="4" borderId="13" xfId="0" applyFont="1" applyFill="1" applyBorder="1" applyAlignment="1" applyProtection="1">
      <alignment horizontal="center"/>
      <protection hidden="1"/>
    </xf>
    <xf numFmtId="0" fontId="130" fillId="4" borderId="30" xfId="0" applyFont="1" applyFill="1" applyBorder="1" applyAlignment="1" applyProtection="1">
      <alignment horizontal="center"/>
      <protection hidden="1"/>
    </xf>
    <xf numFmtId="0" fontId="5" fillId="4" borderId="2" xfId="0" applyFont="1" applyFill="1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/>
      <protection hidden="1"/>
    </xf>
    <xf numFmtId="0" fontId="159" fillId="4" borderId="62" xfId="0" applyFont="1" applyFill="1" applyBorder="1" applyAlignment="1" applyProtection="1">
      <alignment horizontal="center" vertical="center"/>
      <protection hidden="1"/>
    </xf>
    <xf numFmtId="0" fontId="125" fillId="4" borderId="13" xfId="0" applyFont="1" applyFill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48" fillId="0" borderId="14" xfId="0" applyFont="1" applyBorder="1" applyAlignment="1" applyProtection="1">
      <alignment horizontal="center" vertical="center"/>
      <protection hidden="1"/>
    </xf>
    <xf numFmtId="0" fontId="46" fillId="3" borderId="5" xfId="0" applyFont="1" applyFill="1" applyBorder="1" applyAlignment="1" applyProtection="1">
      <alignment horizontal="center"/>
      <protection hidden="1"/>
    </xf>
    <xf numFmtId="0" fontId="154" fillId="4" borderId="2" xfId="0" applyFont="1" applyFill="1" applyBorder="1" applyAlignment="1" applyProtection="1">
      <alignment horizontal="center"/>
      <protection hidden="1"/>
    </xf>
    <xf numFmtId="0" fontId="135" fillId="4" borderId="3" xfId="0" applyFont="1" applyFill="1" applyBorder="1" applyAlignment="1" applyProtection="1">
      <alignment horizontal="center"/>
      <protection hidden="1"/>
    </xf>
    <xf numFmtId="0" fontId="5" fillId="4" borderId="3" xfId="0" applyFont="1" applyFill="1" applyBorder="1" applyAlignment="1" applyProtection="1">
      <alignment horizontal="center"/>
      <protection hidden="1"/>
    </xf>
    <xf numFmtId="0" fontId="125" fillId="4" borderId="8" xfId="0" applyFont="1" applyFill="1" applyBorder="1" applyAlignment="1" applyProtection="1">
      <alignment horizontal="center" vertical="center"/>
      <protection hidden="1"/>
    </xf>
    <xf numFmtId="0" fontId="125" fillId="4" borderId="30" xfId="0" applyFont="1" applyFill="1" applyBorder="1" applyAlignment="1" applyProtection="1">
      <alignment horizontal="center" vertical="center"/>
      <protection hidden="1"/>
    </xf>
    <xf numFmtId="0" fontId="125" fillId="4" borderId="2" xfId="0" applyFont="1" applyFill="1" applyBorder="1" applyAlignment="1" applyProtection="1">
      <alignment horizontal="center"/>
      <protection hidden="1"/>
    </xf>
    <xf numFmtId="0" fontId="133" fillId="4" borderId="2" xfId="0" applyFont="1" applyFill="1" applyBorder="1" applyAlignment="1" applyProtection="1">
      <alignment horizontal="center" vertical="center"/>
      <protection hidden="1"/>
    </xf>
    <xf numFmtId="0" fontId="133" fillId="4" borderId="2" xfId="0" applyFont="1" applyFill="1" applyBorder="1" applyAlignment="1" applyProtection="1">
      <alignment horizontal="right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125" fillId="4" borderId="2" xfId="0" applyFont="1" applyFill="1" applyBorder="1" applyAlignment="1" applyProtection="1">
      <alignment horizontal="right" vertical="center"/>
      <protection hidden="1"/>
    </xf>
    <xf numFmtId="0" fontId="133" fillId="4" borderId="2" xfId="0" applyFont="1" applyFill="1" applyBorder="1" applyAlignment="1" applyProtection="1">
      <alignment horizontal="right"/>
      <protection hidden="1"/>
    </xf>
    <xf numFmtId="0" fontId="133" fillId="0" borderId="0" xfId="0" applyFont="1" applyFill="1" applyBorder="1" applyAlignment="1" applyProtection="1">
      <alignment horizontal="right"/>
      <protection hidden="1"/>
    </xf>
    <xf numFmtId="0" fontId="23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left"/>
      <protection hidden="1"/>
    </xf>
    <xf numFmtId="0" fontId="9" fillId="0" borderId="0" xfId="0" applyFont="1" applyFill="1" applyAlignment="1" applyProtection="1">
      <alignment horizontal="left" vertical="center"/>
      <protection hidden="1"/>
    </xf>
    <xf numFmtId="0" fontId="0" fillId="4" borderId="0" xfId="0" applyFill="1" applyAlignment="1">
      <alignment/>
    </xf>
    <xf numFmtId="0" fontId="102" fillId="4" borderId="0" xfId="0" applyFont="1" applyFill="1" applyBorder="1" applyAlignment="1" applyProtection="1">
      <alignment horizontal="center"/>
      <protection hidden="1"/>
    </xf>
    <xf numFmtId="0" fontId="80" fillId="3" borderId="13" xfId="0" applyFont="1" applyFill="1" applyBorder="1" applyAlignment="1" applyProtection="1">
      <alignment horizontal="center" vertical="center"/>
      <protection hidden="1"/>
    </xf>
    <xf numFmtId="0" fontId="5" fillId="4" borderId="0" xfId="0" applyFont="1" applyFill="1" applyBorder="1" applyAlignment="1" applyProtection="1">
      <alignment horizontal="right"/>
      <protection hidden="1"/>
    </xf>
    <xf numFmtId="0" fontId="8" fillId="4" borderId="4" xfId="0" applyFont="1" applyFill="1" applyBorder="1" applyAlignment="1" applyProtection="1">
      <alignment horizontal="right" vertical="center"/>
      <protection hidden="1"/>
    </xf>
    <xf numFmtId="0" fontId="5" fillId="4" borderId="13" xfId="0" applyFont="1" applyFill="1" applyBorder="1" applyAlignment="1" applyProtection="1">
      <alignment horizontal="right"/>
      <protection hidden="1"/>
    </xf>
    <xf numFmtId="0" fontId="140" fillId="4" borderId="4" xfId="0" applyFont="1" applyFill="1" applyBorder="1" applyAlignment="1" applyProtection="1">
      <alignment horizontal="right"/>
      <protection hidden="1"/>
    </xf>
    <xf numFmtId="0" fontId="71" fillId="4" borderId="4" xfId="0" applyFont="1" applyFill="1" applyBorder="1" applyAlignment="1" applyProtection="1" quotePrefix="1">
      <alignment horizontal="right"/>
      <protection hidden="1"/>
    </xf>
    <xf numFmtId="0" fontId="8" fillId="0" borderId="0" xfId="0" applyFont="1" applyFill="1" applyBorder="1" applyAlignment="1" applyProtection="1">
      <alignment/>
      <protection hidden="1"/>
    </xf>
    <xf numFmtId="0" fontId="86" fillId="0" borderId="0" xfId="0" applyFont="1" applyFill="1" applyBorder="1" applyAlignment="1" applyProtection="1">
      <alignment horizontal="left" vertical="center"/>
      <protection hidden="1"/>
    </xf>
    <xf numFmtId="0" fontId="21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horizontal="right"/>
      <protection hidden="1"/>
    </xf>
    <xf numFmtId="0" fontId="0" fillId="0" borderId="21" xfId="0" applyBorder="1" applyAlignment="1">
      <alignment/>
    </xf>
    <xf numFmtId="0" fontId="125" fillId="4" borderId="16" xfId="0" applyFont="1" applyFill="1" applyBorder="1" applyAlignment="1" applyProtection="1">
      <alignment horizontal="center" vertical="center"/>
      <protection hidden="1"/>
    </xf>
    <xf numFmtId="0" fontId="8" fillId="3" borderId="13" xfId="0" applyFont="1" applyFill="1" applyBorder="1" applyAlignment="1" applyProtection="1">
      <alignment horizontal="center"/>
      <protection hidden="1"/>
    </xf>
    <xf numFmtId="0" fontId="35" fillId="2" borderId="2" xfId="0" applyFont="1" applyFill="1" applyBorder="1" applyAlignment="1" applyProtection="1">
      <alignment horizontal="center"/>
      <protection locked="0"/>
    </xf>
    <xf numFmtId="0" fontId="39" fillId="3" borderId="2" xfId="0" applyFont="1" applyFill="1" applyBorder="1" applyAlignment="1" applyProtection="1">
      <alignment horizontal="center"/>
      <protection hidden="1"/>
    </xf>
    <xf numFmtId="0" fontId="71" fillId="4" borderId="0" xfId="0" applyFont="1" applyFill="1" applyBorder="1" applyAlignment="1" applyProtection="1" quotePrefix="1">
      <alignment horizontal="right"/>
      <protection hidden="1"/>
    </xf>
    <xf numFmtId="0" fontId="140" fillId="4" borderId="0" xfId="0" applyFont="1" applyFill="1" applyBorder="1" applyAlignment="1" applyProtection="1">
      <alignment horizontal="right"/>
      <protection hidden="1"/>
    </xf>
    <xf numFmtId="0" fontId="39" fillId="0" borderId="0" xfId="0" applyFont="1" applyFill="1" applyBorder="1" applyAlignment="1" applyProtection="1">
      <alignment horizontal="center"/>
      <protection hidden="1"/>
    </xf>
    <xf numFmtId="0" fontId="44" fillId="3" borderId="13" xfId="0" applyFont="1" applyFill="1" applyBorder="1" applyAlignment="1" applyProtection="1">
      <alignment horizontal="center"/>
      <protection hidden="1"/>
    </xf>
    <xf numFmtId="0" fontId="71" fillId="4" borderId="13" xfId="0" applyFont="1" applyFill="1" applyBorder="1" applyAlignment="1" applyProtection="1" quotePrefix="1">
      <alignment horizontal="right"/>
      <protection hidden="1"/>
    </xf>
    <xf numFmtId="0" fontId="0" fillId="0" borderId="4" xfId="0" applyFill="1" applyBorder="1" applyAlignment="1">
      <alignment/>
    </xf>
    <xf numFmtId="0" fontId="0" fillId="4" borderId="4" xfId="0" applyFill="1" applyBorder="1" applyAlignment="1">
      <alignment/>
    </xf>
    <xf numFmtId="0" fontId="5" fillId="4" borderId="4" xfId="0" applyFont="1" applyFill="1" applyBorder="1" applyAlignment="1" applyProtection="1">
      <alignment horizontal="right"/>
      <protection hidden="1"/>
    </xf>
    <xf numFmtId="0" fontId="140" fillId="4" borderId="21" xfId="0" applyFont="1" applyFill="1" applyBorder="1" applyAlignment="1" applyProtection="1">
      <alignment horizontal="right"/>
      <protection hidden="1"/>
    </xf>
    <xf numFmtId="0" fontId="42" fillId="3" borderId="2" xfId="0" applyFont="1" applyFill="1" applyBorder="1" applyAlignment="1" applyProtection="1">
      <alignment horizontal="center" vertical="center"/>
      <protection hidden="1"/>
    </xf>
    <xf numFmtId="0" fontId="0" fillId="0" borderId="16" xfId="0" applyFill="1" applyBorder="1" applyAlignment="1">
      <alignment/>
    </xf>
    <xf numFmtId="0" fontId="12" fillId="4" borderId="4" xfId="0" applyFont="1" applyFill="1" applyBorder="1" applyAlignment="1" applyProtection="1">
      <alignment horizontal="right"/>
      <protection hidden="1"/>
    </xf>
    <xf numFmtId="0" fontId="125" fillId="4" borderId="2" xfId="0" applyFont="1" applyFill="1" applyBorder="1" applyAlignment="1" applyProtection="1">
      <alignment horizontal="center" vertical="center"/>
      <protection hidden="1"/>
    </xf>
    <xf numFmtId="0" fontId="147" fillId="4" borderId="2" xfId="0" applyFont="1" applyFill="1" applyBorder="1" applyAlignment="1" applyProtection="1">
      <alignment horizontal="center" vertical="center"/>
      <protection hidden="1"/>
    </xf>
    <xf numFmtId="0" fontId="9" fillId="4" borderId="23" xfId="0" applyFont="1" applyFill="1" applyBorder="1" applyAlignment="1" applyProtection="1">
      <alignment horizontal="center" vertical="center"/>
      <protection hidden="1"/>
    </xf>
    <xf numFmtId="0" fontId="125" fillId="4" borderId="13" xfId="0" applyFont="1" applyFill="1" applyBorder="1" applyAlignment="1" applyProtection="1">
      <alignment horizontal="center"/>
      <protection hidden="1"/>
    </xf>
    <xf numFmtId="0" fontId="125" fillId="4" borderId="3" xfId="0" applyFont="1" applyFill="1" applyBorder="1" applyAlignment="1" applyProtection="1">
      <alignment horizontal="center"/>
      <protection hidden="1"/>
    </xf>
    <xf numFmtId="0" fontId="163" fillId="4" borderId="2" xfId="0" applyFont="1" applyFill="1" applyBorder="1" applyAlignment="1" applyProtection="1">
      <alignment horizontal="center" vertical="center"/>
      <protection hidden="1"/>
    </xf>
    <xf numFmtId="0" fontId="163" fillId="4" borderId="2" xfId="0" applyFont="1" applyFill="1" applyBorder="1" applyAlignment="1" applyProtection="1">
      <alignment horizontal="right"/>
      <protection hidden="1"/>
    </xf>
    <xf numFmtId="0" fontId="133" fillId="4" borderId="16" xfId="0" applyFont="1" applyFill="1" applyBorder="1" applyAlignment="1" applyProtection="1">
      <alignment horizontal="right"/>
      <protection hidden="1"/>
    </xf>
    <xf numFmtId="0" fontId="150" fillId="4" borderId="2" xfId="0" applyFont="1" applyFill="1" applyBorder="1" applyAlignment="1" applyProtection="1">
      <alignment horizontal="right"/>
      <protection hidden="1"/>
    </xf>
    <xf numFmtId="0" fontId="133" fillId="4" borderId="13" xfId="0" applyFont="1" applyFill="1" applyBorder="1" applyAlignment="1" applyProtection="1">
      <alignment horizontal="right"/>
      <protection hidden="1"/>
    </xf>
    <xf numFmtId="0" fontId="22" fillId="4" borderId="13" xfId="0" applyFont="1" applyFill="1" applyBorder="1" applyAlignment="1" applyProtection="1">
      <alignment horizontal="center"/>
      <protection hidden="1"/>
    </xf>
    <xf numFmtId="0" fontId="9" fillId="4" borderId="12" xfId="0" applyFont="1" applyFill="1" applyBorder="1" applyAlignment="1" applyProtection="1">
      <alignment horizontal="center"/>
      <protection hidden="1"/>
    </xf>
    <xf numFmtId="0" fontId="86" fillId="4" borderId="2" xfId="0" applyFont="1" applyFill="1" applyBorder="1" applyAlignment="1" applyProtection="1">
      <alignment horizontal="center"/>
      <protection hidden="1"/>
    </xf>
    <xf numFmtId="0" fontId="163" fillId="4" borderId="2" xfId="0" applyFont="1" applyFill="1" applyBorder="1" applyAlignment="1" applyProtection="1">
      <alignment horizontal="center"/>
      <protection hidden="1"/>
    </xf>
    <xf numFmtId="0" fontId="133" fillId="4" borderId="2" xfId="0" applyFont="1" applyFill="1" applyBorder="1" applyAlignment="1" applyProtection="1">
      <alignment horizontal="center"/>
      <protection hidden="1"/>
    </xf>
    <xf numFmtId="0" fontId="133" fillId="4" borderId="13" xfId="0" applyFont="1" applyFill="1" applyBorder="1" applyAlignment="1" applyProtection="1">
      <alignment horizontal="center" vertical="center"/>
      <protection hidden="1"/>
    </xf>
    <xf numFmtId="0" fontId="133" fillId="4" borderId="13" xfId="0" applyFont="1" applyFill="1" applyBorder="1" applyAlignment="1" applyProtection="1">
      <alignment horizontal="center"/>
      <protection hidden="1"/>
    </xf>
    <xf numFmtId="0" fontId="22" fillId="4" borderId="0" xfId="0" applyFont="1" applyFill="1" applyBorder="1" applyAlignment="1" applyProtection="1">
      <alignment horizontal="left" vertical="center"/>
      <protection hidden="1"/>
    </xf>
    <xf numFmtId="0" fontId="77" fillId="4" borderId="1" xfId="0" applyFont="1" applyFill="1" applyBorder="1" applyAlignment="1" applyProtection="1">
      <alignment horizontal="left" vertical="center"/>
      <protection hidden="1"/>
    </xf>
    <xf numFmtId="0" fontId="77" fillId="4" borderId="7" xfId="0" applyFont="1" applyFill="1" applyBorder="1" applyAlignment="1" applyProtection="1">
      <alignment horizontal="left" vertical="center"/>
      <protection hidden="1"/>
    </xf>
    <xf numFmtId="0" fontId="77" fillId="4" borderId="6" xfId="0" applyFont="1" applyFill="1" applyBorder="1" applyAlignment="1" applyProtection="1">
      <alignment horizontal="left" vertical="center"/>
      <protection hidden="1"/>
    </xf>
    <xf numFmtId="0" fontId="77" fillId="4" borderId="22" xfId="0" applyFont="1" applyFill="1" applyBorder="1" applyAlignment="1" applyProtection="1">
      <alignment horizontal="left" vertical="center"/>
      <protection hidden="1"/>
    </xf>
    <xf numFmtId="0" fontId="77" fillId="4" borderId="16" xfId="0" applyFont="1" applyFill="1" applyBorder="1" applyAlignment="1" applyProtection="1">
      <alignment/>
      <protection hidden="1"/>
    </xf>
    <xf numFmtId="0" fontId="77" fillId="4" borderId="16" xfId="0" applyFont="1" applyFill="1" applyBorder="1" applyAlignment="1" applyProtection="1">
      <alignment horizontal="left" vertical="center"/>
      <protection hidden="1"/>
    </xf>
    <xf numFmtId="0" fontId="31" fillId="4" borderId="0" xfId="0" applyFont="1" applyFill="1" applyAlignment="1" applyProtection="1">
      <alignment/>
      <protection hidden="1"/>
    </xf>
    <xf numFmtId="0" fontId="77" fillId="4" borderId="1" xfId="0" applyFont="1" applyFill="1" applyBorder="1" applyAlignment="1" applyProtection="1">
      <alignment/>
      <protection hidden="1"/>
    </xf>
    <xf numFmtId="0" fontId="77" fillId="4" borderId="7" xfId="0" applyFont="1" applyFill="1" applyBorder="1" applyAlignment="1" applyProtection="1">
      <alignment/>
      <protection hidden="1"/>
    </xf>
    <xf numFmtId="0" fontId="0" fillId="4" borderId="1" xfId="0" applyFont="1" applyFill="1" applyBorder="1" applyAlignment="1" applyProtection="1">
      <alignment horizontal="center"/>
      <protection hidden="1"/>
    </xf>
    <xf numFmtId="0" fontId="0" fillId="4" borderId="63" xfId="0" applyFont="1" applyFill="1" applyBorder="1" applyAlignment="1" applyProtection="1">
      <alignment/>
      <protection hidden="1"/>
    </xf>
    <xf numFmtId="0" fontId="0" fillId="4" borderId="16" xfId="0" applyFont="1" applyFill="1" applyBorder="1" applyAlignment="1" applyProtection="1">
      <alignment horizontal="left"/>
      <protection hidden="1"/>
    </xf>
    <xf numFmtId="0" fontId="8" fillId="4" borderId="0" xfId="0" applyFont="1" applyFill="1" applyAlignment="1" applyProtection="1">
      <alignment/>
      <protection hidden="1"/>
    </xf>
    <xf numFmtId="0" fontId="54" fillId="2" borderId="0" xfId="0" applyFont="1" applyFill="1" applyAlignment="1" applyProtection="1">
      <alignment/>
      <protection locked="0"/>
    </xf>
    <xf numFmtId="0" fontId="61" fillId="2" borderId="0" xfId="0" applyFont="1" applyFill="1" applyAlignment="1" applyProtection="1">
      <alignment/>
      <protection hidden="1"/>
    </xf>
    <xf numFmtId="0" fontId="8" fillId="4" borderId="0" xfId="0" applyFont="1" applyFill="1" applyAlignment="1" applyProtection="1">
      <alignment horizontal="center"/>
      <protection hidden="1"/>
    </xf>
    <xf numFmtId="0" fontId="169" fillId="4" borderId="0" xfId="0" applyFont="1" applyFill="1" applyBorder="1" applyAlignment="1" applyProtection="1">
      <alignment vertical="center"/>
      <protection hidden="1"/>
    </xf>
    <xf numFmtId="0" fontId="49" fillId="3" borderId="16" xfId="0" applyFont="1" applyFill="1" applyBorder="1" applyAlignment="1" applyProtection="1">
      <alignment/>
      <protection hidden="1"/>
    </xf>
    <xf numFmtId="0" fontId="8" fillId="3" borderId="13" xfId="0" applyFont="1" applyFill="1" applyBorder="1" applyAlignment="1" applyProtection="1">
      <alignment/>
      <protection hidden="1"/>
    </xf>
    <xf numFmtId="0" fontId="8" fillId="4" borderId="16" xfId="0" applyFont="1" applyFill="1" applyBorder="1" applyAlignment="1" applyProtection="1">
      <alignment horizontal="right"/>
      <protection hidden="1"/>
    </xf>
    <xf numFmtId="0" fontId="8" fillId="4" borderId="13" xfId="0" applyFont="1" applyFill="1" applyBorder="1" applyAlignment="1" applyProtection="1">
      <alignment/>
      <protection hidden="1"/>
    </xf>
    <xf numFmtId="0" fontId="8" fillId="4" borderId="1" xfId="0" applyFont="1" applyFill="1" applyBorder="1" applyAlignment="1" applyProtection="1">
      <alignment horizontal="right"/>
      <protection hidden="1"/>
    </xf>
    <xf numFmtId="0" fontId="8" fillId="4" borderId="14" xfId="0" applyFont="1" applyFill="1" applyBorder="1" applyAlignment="1" applyProtection="1">
      <alignment/>
      <protection hidden="1"/>
    </xf>
    <xf numFmtId="0" fontId="143" fillId="4" borderId="2" xfId="0" applyFont="1" applyFill="1" applyBorder="1" applyAlignment="1" applyProtection="1">
      <alignment horizontal="center"/>
      <protection hidden="1"/>
    </xf>
    <xf numFmtId="0" fontId="8" fillId="4" borderId="4" xfId="0" applyFont="1" applyFill="1" applyBorder="1" applyAlignment="1" applyProtection="1">
      <alignment horizontal="left"/>
      <protection hidden="1"/>
    </xf>
    <xf numFmtId="0" fontId="8" fillId="4" borderId="16" xfId="0" applyFont="1" applyFill="1" applyBorder="1" applyAlignment="1" applyProtection="1">
      <alignment/>
      <protection hidden="1"/>
    </xf>
    <xf numFmtId="0" fontId="8" fillId="4" borderId="4" xfId="0" applyFont="1" applyFill="1" applyBorder="1" applyAlignment="1" applyProtection="1">
      <alignment/>
      <protection hidden="1"/>
    </xf>
    <xf numFmtId="0" fontId="8" fillId="4" borderId="13" xfId="0" applyFont="1" applyFill="1" applyBorder="1" applyAlignment="1" applyProtection="1">
      <alignment horizontal="left"/>
      <protection hidden="1"/>
    </xf>
    <xf numFmtId="0" fontId="8" fillId="0" borderId="0" xfId="0" applyFont="1" applyBorder="1" applyAlignment="1" applyProtection="1">
      <alignment horizontal="right"/>
      <protection hidden="1"/>
    </xf>
    <xf numFmtId="0" fontId="8" fillId="0" borderId="0" xfId="0" applyFont="1" applyBorder="1" applyAlignment="1" applyProtection="1">
      <alignment horizontal="left"/>
      <protection hidden="1"/>
    </xf>
    <xf numFmtId="0" fontId="8" fillId="0" borderId="0" xfId="0" applyFont="1" applyBorder="1" applyAlignment="1" applyProtection="1">
      <alignment/>
      <protection hidden="1"/>
    </xf>
    <xf numFmtId="0" fontId="8" fillId="4" borderId="16" xfId="0" applyFont="1" applyFill="1" applyBorder="1" applyAlignment="1" applyProtection="1">
      <alignment horizontal="left"/>
      <protection hidden="1"/>
    </xf>
    <xf numFmtId="0" fontId="0" fillId="4" borderId="2" xfId="0" applyFont="1" applyFill="1" applyBorder="1" applyAlignment="1" applyProtection="1">
      <alignment/>
      <protection hidden="1"/>
    </xf>
    <xf numFmtId="0" fontId="8" fillId="4" borderId="2" xfId="0" applyFont="1" applyFill="1" applyBorder="1" applyAlignment="1" applyProtection="1">
      <alignment/>
      <protection hidden="1"/>
    </xf>
    <xf numFmtId="0" fontId="61" fillId="2" borderId="2" xfId="0" applyFont="1" applyFill="1" applyBorder="1" applyAlignment="1" applyProtection="1">
      <alignment horizontal="center"/>
      <protection locked="0"/>
    </xf>
    <xf numFmtId="0" fontId="8" fillId="0" borderId="12" xfId="0" applyFont="1" applyBorder="1" applyAlignment="1" applyProtection="1">
      <alignment/>
      <protection hidden="1"/>
    </xf>
    <xf numFmtId="0" fontId="8" fillId="4" borderId="64" xfId="0" applyFont="1" applyFill="1" applyBorder="1" applyAlignment="1" applyProtection="1">
      <alignment/>
      <protection hidden="1"/>
    </xf>
    <xf numFmtId="0" fontId="8" fillId="4" borderId="14" xfId="0" applyFont="1" applyFill="1" applyBorder="1" applyAlignment="1" applyProtection="1">
      <alignment horizontal="left"/>
      <protection hidden="1"/>
    </xf>
    <xf numFmtId="0" fontId="39" fillId="3" borderId="61" xfId="0" applyFont="1" applyFill="1" applyBorder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8" fillId="4" borderId="65" xfId="0" applyFont="1" applyFill="1" applyBorder="1" applyAlignment="1" applyProtection="1">
      <alignment/>
      <protection hidden="1"/>
    </xf>
    <xf numFmtId="0" fontId="39" fillId="3" borderId="61" xfId="0" applyFont="1" applyFill="1" applyBorder="1" applyAlignment="1" applyProtection="1">
      <alignment horizontal="center"/>
      <protection hidden="1"/>
    </xf>
    <xf numFmtId="0" fontId="39" fillId="3" borderId="62" xfId="0" applyFont="1" applyFill="1" applyBorder="1" applyAlignment="1" applyProtection="1">
      <alignment horizontal="center"/>
      <protection hidden="1"/>
    </xf>
    <xf numFmtId="0" fontId="61" fillId="2" borderId="14" xfId="0" applyFont="1" applyFill="1" applyBorder="1" applyAlignment="1" applyProtection="1">
      <alignment horizontal="center"/>
      <protection locked="0"/>
    </xf>
    <xf numFmtId="0" fontId="77" fillId="4" borderId="6" xfId="0" applyFont="1" applyFill="1" applyBorder="1" applyAlignment="1" applyProtection="1">
      <alignment/>
      <protection hidden="1"/>
    </xf>
    <xf numFmtId="0" fontId="10" fillId="4" borderId="16" xfId="0" applyFont="1" applyFill="1" applyBorder="1" applyAlignment="1" applyProtection="1">
      <alignment/>
      <protection hidden="1"/>
    </xf>
    <xf numFmtId="0" fontId="10" fillId="4" borderId="0" xfId="0" applyFont="1" applyFill="1" applyAlignment="1" applyProtection="1">
      <alignment/>
      <protection hidden="1"/>
    </xf>
    <xf numFmtId="0" fontId="10" fillId="4" borderId="1" xfId="0" applyFont="1" applyFill="1" applyBorder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58" fillId="5" borderId="0" xfId="0" applyFont="1" applyFill="1" applyBorder="1" applyAlignment="1" applyProtection="1">
      <alignment horizontal="left" vertical="center"/>
      <protection hidden="1"/>
    </xf>
    <xf numFmtId="0" fontId="107" fillId="5" borderId="0" xfId="0" applyFont="1" applyFill="1" applyBorder="1" applyAlignment="1" applyProtection="1">
      <alignment vertical="center"/>
      <protection hidden="1"/>
    </xf>
    <xf numFmtId="0" fontId="23" fillId="2" borderId="16" xfId="0" applyFont="1" applyFill="1" applyBorder="1" applyAlignment="1" applyProtection="1">
      <alignment horizontal="left" vertical="center"/>
      <protection locked="0"/>
    </xf>
    <xf numFmtId="0" fontId="22" fillId="4" borderId="16" xfId="0" applyFont="1" applyFill="1" applyBorder="1" applyAlignment="1" applyProtection="1">
      <alignment horizontal="left" vertical="center"/>
      <protection hidden="1"/>
    </xf>
    <xf numFmtId="0" fontId="77" fillId="4" borderId="16" xfId="0" applyFont="1" applyFill="1" applyBorder="1" applyAlignment="1" applyProtection="1">
      <alignment vertical="center"/>
      <protection hidden="1"/>
    </xf>
    <xf numFmtId="0" fontId="64" fillId="0" borderId="0" xfId="0" applyFont="1" applyBorder="1" applyAlignment="1" applyProtection="1">
      <alignment vertical="center"/>
      <protection hidden="1"/>
    </xf>
    <xf numFmtId="0" fontId="77" fillId="4" borderId="1" xfId="0" applyFont="1" applyFill="1" applyBorder="1" applyAlignment="1" applyProtection="1">
      <alignment vertical="center"/>
      <protection hidden="1"/>
    </xf>
    <xf numFmtId="0" fontId="77" fillId="4" borderId="6" xfId="0" applyFont="1" applyFill="1" applyBorder="1" applyAlignment="1" applyProtection="1">
      <alignment vertical="center"/>
      <protection hidden="1"/>
    </xf>
    <xf numFmtId="0" fontId="77" fillId="4" borderId="7" xfId="0" applyFont="1" applyFill="1" applyBorder="1" applyAlignment="1" applyProtection="1">
      <alignment vertical="center"/>
      <protection hidden="1"/>
    </xf>
    <xf numFmtId="0" fontId="77" fillId="4" borderId="5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/>
      <protection hidden="1"/>
    </xf>
    <xf numFmtId="0" fontId="0" fillId="4" borderId="4" xfId="0" applyFont="1" applyFill="1" applyBorder="1" applyAlignment="1" applyProtection="1">
      <alignment/>
      <protection hidden="1"/>
    </xf>
    <xf numFmtId="0" fontId="10" fillId="4" borderId="4" xfId="0" applyFont="1" applyFill="1" applyBorder="1" applyAlignment="1" applyProtection="1">
      <alignment/>
      <protection hidden="1"/>
    </xf>
    <xf numFmtId="0" fontId="10" fillId="4" borderId="13" xfId="0" applyFont="1" applyFill="1" applyBorder="1" applyAlignment="1" applyProtection="1">
      <alignment horizontal="center"/>
      <protection hidden="1"/>
    </xf>
    <xf numFmtId="0" fontId="0" fillId="4" borderId="0" xfId="0" applyFont="1" applyFill="1" applyAlignment="1" applyProtection="1">
      <alignment/>
      <protection hidden="1"/>
    </xf>
    <xf numFmtId="0" fontId="10" fillId="4" borderId="0" xfId="0" applyFont="1" applyFill="1" applyBorder="1" applyAlignment="1" applyProtection="1">
      <alignment/>
      <protection hidden="1"/>
    </xf>
    <xf numFmtId="0" fontId="8" fillId="4" borderId="12" xfId="0" applyFont="1" applyFill="1" applyBorder="1" applyAlignment="1" applyProtection="1">
      <alignment horizontal="right"/>
      <protection hidden="1"/>
    </xf>
    <xf numFmtId="0" fontId="35" fillId="0" borderId="0" xfId="0" applyFont="1" applyFill="1" applyBorder="1" applyAlignment="1" applyProtection="1">
      <alignment horizontal="center"/>
      <protection hidden="1"/>
    </xf>
    <xf numFmtId="0" fontId="22" fillId="0" borderId="0" xfId="0" applyFont="1" applyFill="1" applyBorder="1" applyAlignment="1" applyProtection="1">
      <alignment horizontal="center"/>
      <protection hidden="1"/>
    </xf>
    <xf numFmtId="0" fontId="23" fillId="2" borderId="21" xfId="0" applyNumberFormat="1" applyFont="1" applyFill="1" applyBorder="1" applyAlignment="1" applyProtection="1">
      <alignment horizontal="center"/>
      <protection locked="0"/>
    </xf>
    <xf numFmtId="0" fontId="22" fillId="3" borderId="1" xfId="0" applyNumberFormat="1" applyFont="1" applyFill="1" applyBorder="1" applyAlignment="1" applyProtection="1">
      <alignment horizontal="center"/>
      <protection hidden="1"/>
    </xf>
    <xf numFmtId="0" fontId="22" fillId="3" borderId="12" xfId="0" applyNumberFormat="1" applyFont="1" applyFill="1" applyBorder="1" applyAlignment="1" applyProtection="1">
      <alignment horizontal="center"/>
      <protection hidden="1"/>
    </xf>
    <xf numFmtId="0" fontId="23" fillId="2" borderId="0" xfId="0" applyNumberFormat="1" applyFont="1" applyFill="1" applyBorder="1" applyAlignment="1" applyProtection="1">
      <alignment horizontal="center"/>
      <protection locked="0"/>
    </xf>
    <xf numFmtId="0" fontId="22" fillId="3" borderId="7" xfId="0" applyNumberFormat="1" applyFont="1" applyFill="1" applyBorder="1" applyAlignment="1" applyProtection="1">
      <alignment horizontal="center"/>
      <protection hidden="1"/>
    </xf>
    <xf numFmtId="0" fontId="22" fillId="3" borderId="5" xfId="0" applyNumberFormat="1" applyFont="1" applyFill="1" applyBorder="1" applyAlignment="1" applyProtection="1">
      <alignment horizontal="center"/>
      <protection hidden="1"/>
    </xf>
    <xf numFmtId="0" fontId="23" fillId="2" borderId="22" xfId="0" applyNumberFormat="1" applyFont="1" applyFill="1" applyBorder="1" applyAlignment="1" applyProtection="1">
      <alignment horizontal="center"/>
      <protection locked="0"/>
    </xf>
    <xf numFmtId="0" fontId="22" fillId="3" borderId="6" xfId="0" applyNumberFormat="1" applyFont="1" applyFill="1" applyBorder="1" applyAlignment="1" applyProtection="1">
      <alignment horizontal="center"/>
      <protection hidden="1"/>
    </xf>
    <xf numFmtId="0" fontId="22" fillId="3" borderId="3" xfId="0" applyNumberFormat="1" applyFont="1" applyFill="1" applyBorder="1" applyAlignment="1" applyProtection="1">
      <alignment horizontal="center"/>
      <protection hidden="1"/>
    </xf>
    <xf numFmtId="0" fontId="61" fillId="2" borderId="14" xfId="0" applyNumberFormat="1" applyFont="1" applyFill="1" applyBorder="1" applyAlignment="1" applyProtection="1">
      <alignment horizontal="center"/>
      <protection locked="0"/>
    </xf>
    <xf numFmtId="0" fontId="61" fillId="2" borderId="12" xfId="0" applyNumberFormat="1" applyFont="1" applyFill="1" applyBorder="1" applyAlignment="1" applyProtection="1">
      <alignment horizontal="center"/>
      <protection locked="0"/>
    </xf>
    <xf numFmtId="0" fontId="61" fillId="2" borderId="8" xfId="0" applyNumberFormat="1" applyFont="1" applyFill="1" applyBorder="1" applyAlignment="1" applyProtection="1">
      <alignment horizontal="center"/>
      <protection locked="0"/>
    </xf>
    <xf numFmtId="0" fontId="61" fillId="2" borderId="3" xfId="0" applyNumberFormat="1" applyFont="1" applyFill="1" applyBorder="1" applyAlignment="1" applyProtection="1">
      <alignment horizontal="center"/>
      <protection locked="0"/>
    </xf>
    <xf numFmtId="0" fontId="8" fillId="3" borderId="14" xfId="0" applyFont="1" applyFill="1" applyBorder="1" applyAlignment="1" applyProtection="1">
      <alignment horizontal="center"/>
      <protection hidden="1"/>
    </xf>
    <xf numFmtId="0" fontId="8" fillId="3" borderId="8" xfId="0" applyFont="1" applyFill="1" applyBorder="1" applyAlignment="1" applyProtection="1">
      <alignment horizontal="center"/>
      <protection hidden="1"/>
    </xf>
    <xf numFmtId="0" fontId="8" fillId="3" borderId="3" xfId="0" applyFont="1" applyFill="1" applyBorder="1" applyAlignment="1" applyProtection="1">
      <alignment horizontal="center"/>
      <protection hidden="1"/>
    </xf>
    <xf numFmtId="0" fontId="8" fillId="3" borderId="3" xfId="0" applyNumberFormat="1" applyFont="1" applyFill="1" applyBorder="1" applyAlignment="1" applyProtection="1">
      <alignment horizontal="center"/>
      <protection hidden="1"/>
    </xf>
    <xf numFmtId="0" fontId="8" fillId="0" borderId="12" xfId="0" applyFont="1" applyFill="1" applyBorder="1" applyAlignment="1" applyProtection="1">
      <alignment horizontal="center"/>
      <protection hidden="1"/>
    </xf>
    <xf numFmtId="0" fontId="8" fillId="0" borderId="16" xfId="0" applyFont="1" applyFill="1" applyBorder="1" applyAlignment="1" applyProtection="1">
      <alignment horizontal="center"/>
      <protection hidden="1"/>
    </xf>
    <xf numFmtId="0" fontId="8" fillId="0" borderId="4" xfId="0" applyFont="1" applyFill="1" applyBorder="1" applyAlignment="1" applyProtection="1">
      <alignment horizontal="center"/>
      <protection hidden="1"/>
    </xf>
    <xf numFmtId="0" fontId="8" fillId="0" borderId="13" xfId="0" applyFont="1" applyFill="1" applyBorder="1" applyAlignment="1" applyProtection="1">
      <alignment horizontal="center"/>
      <protection hidden="1"/>
    </xf>
    <xf numFmtId="0" fontId="8" fillId="3" borderId="23" xfId="0" applyFont="1" applyFill="1" applyBorder="1" applyAlignment="1" applyProtection="1">
      <alignment horizontal="center"/>
      <protection hidden="1"/>
    </xf>
    <xf numFmtId="0" fontId="8" fillId="3" borderId="5" xfId="0" applyFont="1" applyFill="1" applyBorder="1" applyAlignment="1" applyProtection="1">
      <alignment horizontal="center"/>
      <protection hidden="1"/>
    </xf>
    <xf numFmtId="0" fontId="8" fillId="0" borderId="3" xfId="0" applyFont="1" applyFill="1" applyBorder="1" applyAlignment="1" applyProtection="1">
      <alignment horizontal="center"/>
      <protection hidden="1"/>
    </xf>
    <xf numFmtId="0" fontId="10" fillId="3" borderId="5" xfId="0" applyFont="1" applyFill="1" applyBorder="1" applyAlignment="1" applyProtection="1">
      <alignment horizontal="center"/>
      <protection hidden="1"/>
    </xf>
    <xf numFmtId="0" fontId="10" fillId="3" borderId="3" xfId="0" applyFont="1" applyFill="1" applyBorder="1" applyAlignment="1" applyProtection="1">
      <alignment horizontal="center"/>
      <protection hidden="1"/>
    </xf>
    <xf numFmtId="0" fontId="172" fillId="3" borderId="2" xfId="0" applyFont="1" applyFill="1" applyBorder="1" applyAlignment="1" applyProtection="1">
      <alignment horizontal="center"/>
      <protection hidden="1"/>
    </xf>
    <xf numFmtId="0" fontId="173" fillId="3" borderId="12" xfId="0" applyFont="1" applyFill="1" applyBorder="1" applyAlignment="1" applyProtection="1">
      <alignment horizontal="center"/>
      <protection hidden="1"/>
    </xf>
    <xf numFmtId="0" fontId="173" fillId="3" borderId="3" xfId="0" applyFont="1" applyFill="1" applyBorder="1" applyAlignment="1" applyProtection="1">
      <alignment horizontal="center"/>
      <protection hidden="1"/>
    </xf>
    <xf numFmtId="0" fontId="90" fillId="0" borderId="0" xfId="0" applyFont="1" applyAlignment="1" applyProtection="1">
      <alignment/>
      <protection hidden="1"/>
    </xf>
    <xf numFmtId="0" fontId="93" fillId="0" borderId="0" xfId="0" applyFont="1" applyAlignment="1" applyProtection="1">
      <alignment horizontal="center"/>
      <protection hidden="1"/>
    </xf>
    <xf numFmtId="0" fontId="93" fillId="0" borderId="0" xfId="0" applyFont="1" applyAlignment="1" applyProtection="1">
      <alignment/>
      <protection hidden="1"/>
    </xf>
    <xf numFmtId="0" fontId="93" fillId="0" borderId="0" xfId="0" applyFont="1" applyBorder="1" applyAlignment="1" applyProtection="1">
      <alignment/>
      <protection hidden="1"/>
    </xf>
    <xf numFmtId="0" fontId="10" fillId="0" borderId="0" xfId="0" applyFont="1" applyBorder="1" applyAlignment="1" applyProtection="1">
      <alignment/>
      <protection hidden="1"/>
    </xf>
    <xf numFmtId="0" fontId="0" fillId="4" borderId="16" xfId="0" applyFont="1" applyFill="1" applyBorder="1" applyAlignment="1" applyProtection="1">
      <alignment/>
      <protection hidden="1"/>
    </xf>
    <xf numFmtId="0" fontId="0" fillId="4" borderId="13" xfId="0" applyFont="1" applyFill="1" applyBorder="1" applyAlignment="1" applyProtection="1">
      <alignment/>
      <protection hidden="1"/>
    </xf>
    <xf numFmtId="0" fontId="22" fillId="4" borderId="16" xfId="0" applyFont="1" applyFill="1" applyBorder="1" applyAlignment="1" applyProtection="1">
      <alignment/>
      <protection hidden="1"/>
    </xf>
    <xf numFmtId="0" fontId="0" fillId="4" borderId="0" xfId="0" applyFont="1" applyFill="1" applyAlignment="1">
      <alignment/>
    </xf>
    <xf numFmtId="0" fontId="0" fillId="4" borderId="0" xfId="0" applyFont="1" applyFill="1" applyAlignment="1" applyProtection="1">
      <alignment horizontal="center" vertical="center"/>
      <protection hidden="1"/>
    </xf>
    <xf numFmtId="0" fontId="10" fillId="4" borderId="0" xfId="0" applyFont="1" applyFill="1" applyAlignment="1" applyProtection="1">
      <alignment horizontal="center" vertical="center"/>
      <protection hidden="1"/>
    </xf>
    <xf numFmtId="0" fontId="10" fillId="4" borderId="17" xfId="0" applyFont="1" applyFill="1" applyBorder="1" applyAlignment="1" applyProtection="1">
      <alignment horizontal="center"/>
      <protection hidden="1"/>
    </xf>
    <xf numFmtId="0" fontId="23" fillId="2" borderId="1" xfId="0" applyNumberFormat="1" applyFont="1" applyFill="1" applyBorder="1" applyAlignment="1" applyProtection="1">
      <alignment horizontal="center"/>
      <protection locked="0"/>
    </xf>
    <xf numFmtId="0" fontId="23" fillId="2" borderId="7" xfId="0" applyNumberFormat="1" applyFont="1" applyFill="1" applyBorder="1" applyAlignment="1" applyProtection="1">
      <alignment horizontal="center"/>
      <protection locked="0"/>
    </xf>
    <xf numFmtId="0" fontId="23" fillId="2" borderId="6" xfId="0" applyNumberFormat="1" applyFont="1" applyFill="1" applyBorder="1" applyAlignment="1" applyProtection="1">
      <alignment horizontal="center"/>
      <protection locked="0"/>
    </xf>
    <xf numFmtId="0" fontId="22" fillId="0" borderId="16" xfId="0" applyFont="1" applyFill="1" applyBorder="1" applyAlignment="1" applyProtection="1">
      <alignment horizontal="center"/>
      <protection hidden="1"/>
    </xf>
    <xf numFmtId="0" fontId="8" fillId="0" borderId="0" xfId="0" applyFont="1" applyFill="1" applyBorder="1" applyAlignment="1" applyProtection="1">
      <alignment horizontal="center"/>
      <protection hidden="1"/>
    </xf>
    <xf numFmtId="0" fontId="173" fillId="3" borderId="2" xfId="0" applyFont="1" applyFill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15" xfId="0" applyFont="1" applyBorder="1" applyAlignment="1" applyProtection="1">
      <alignment horizontal="center" vertical="center"/>
      <protection hidden="1"/>
    </xf>
    <xf numFmtId="0" fontId="0" fillId="4" borderId="61" xfId="0" applyFont="1" applyFill="1" applyBorder="1" applyAlignment="1" applyProtection="1">
      <alignment vertical="center"/>
      <protection hidden="1"/>
    </xf>
    <xf numFmtId="0" fontId="0" fillId="0" borderId="25" xfId="0" applyFont="1" applyBorder="1" applyAlignment="1" applyProtection="1">
      <alignment vertical="center"/>
      <protection hidden="1"/>
    </xf>
    <xf numFmtId="0" fontId="0" fillId="0" borderId="25" xfId="0" applyFont="1" applyFill="1" applyBorder="1" applyAlignment="1" applyProtection="1">
      <alignment vertical="center"/>
      <protection hidden="1"/>
    </xf>
    <xf numFmtId="0" fontId="152" fillId="4" borderId="33" xfId="0" applyFont="1" applyFill="1" applyBorder="1" applyAlignment="1" applyProtection="1">
      <alignment horizontal="center"/>
      <protection hidden="1"/>
    </xf>
    <xf numFmtId="0" fontId="152" fillId="4" borderId="1" xfId="0" applyFont="1" applyFill="1" applyBorder="1" applyAlignment="1" applyProtection="1">
      <alignment horizontal="center"/>
      <protection hidden="1"/>
    </xf>
    <xf numFmtId="0" fontId="8" fillId="4" borderId="38" xfId="0" applyFont="1" applyFill="1" applyBorder="1" applyAlignment="1" applyProtection="1">
      <alignment horizontal="center" vertical="center"/>
      <protection hidden="1"/>
    </xf>
    <xf numFmtId="0" fontId="8" fillId="4" borderId="6" xfId="0" applyFont="1" applyFill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vertical="center"/>
      <protection hidden="1"/>
    </xf>
    <xf numFmtId="0" fontId="0" fillId="4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35" xfId="0" applyFont="1" applyBorder="1" applyAlignment="1" applyProtection="1">
      <alignment vertical="center"/>
      <protection hidden="1"/>
    </xf>
    <xf numFmtId="0" fontId="8" fillId="4" borderId="44" xfId="0" applyFont="1" applyFill="1" applyBorder="1" applyAlignment="1" applyProtection="1">
      <alignment horizontal="center" vertical="center"/>
      <protection hidden="1"/>
    </xf>
    <xf numFmtId="0" fontId="8" fillId="4" borderId="66" xfId="0" applyFont="1" applyFill="1" applyBorder="1" applyAlignment="1" applyProtection="1">
      <alignment horizontal="center" vertical="center"/>
      <protection hidden="1"/>
    </xf>
    <xf numFmtId="0" fontId="177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40" fillId="5" borderId="0" xfId="0" applyFont="1" applyFill="1" applyBorder="1" applyAlignment="1" applyProtection="1">
      <alignment horizontal="center" vertical="center"/>
      <protection hidden="1"/>
    </xf>
    <xf numFmtId="0" fontId="40" fillId="5" borderId="0" xfId="0" applyFont="1" applyFill="1" applyBorder="1" applyAlignment="1" applyProtection="1">
      <alignment horizontal="left" vertical="center"/>
      <protection hidden="1"/>
    </xf>
    <xf numFmtId="0" fontId="39" fillId="5" borderId="0" xfId="0" applyFont="1" applyFill="1" applyBorder="1" applyAlignment="1" applyProtection="1">
      <alignment vertical="center"/>
      <protection hidden="1"/>
    </xf>
    <xf numFmtId="0" fontId="179" fillId="5" borderId="0" xfId="0" applyFont="1" applyFill="1" applyBorder="1" applyAlignment="1" applyProtection="1">
      <alignment vertical="center"/>
      <protection hidden="1"/>
    </xf>
    <xf numFmtId="0" fontId="72" fillId="5" borderId="0" xfId="0" applyFont="1" applyFill="1" applyBorder="1" applyAlignment="1" applyProtection="1">
      <alignment vertical="center"/>
      <protection hidden="1"/>
    </xf>
    <xf numFmtId="0" fontId="39" fillId="5" borderId="0" xfId="0" applyFont="1" applyFill="1" applyBorder="1" applyAlignment="1" applyProtection="1">
      <alignment/>
      <protection hidden="1"/>
    </xf>
    <xf numFmtId="0" fontId="39" fillId="5" borderId="0" xfId="0" applyFont="1" applyFill="1" applyBorder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8" fillId="5" borderId="0" xfId="0" applyFont="1" applyFill="1" applyBorder="1" applyAlignment="1" applyProtection="1">
      <alignment vertical="center"/>
      <protection hidden="1"/>
    </xf>
    <xf numFmtId="0" fontId="179" fillId="3" borderId="0" xfId="0" applyFont="1" applyFill="1" applyBorder="1" applyAlignment="1" applyProtection="1">
      <alignment vertical="center"/>
      <protection hidden="1"/>
    </xf>
    <xf numFmtId="0" fontId="22" fillId="4" borderId="0" xfId="0" applyFont="1" applyFill="1" applyBorder="1" applyAlignment="1" applyProtection="1">
      <alignment horizontal="center" vertical="center"/>
      <protection hidden="1"/>
    </xf>
    <xf numFmtId="0" fontId="169" fillId="4" borderId="21" xfId="0" applyFont="1" applyFill="1" applyBorder="1" applyAlignment="1" applyProtection="1">
      <alignment vertical="center"/>
      <protection hidden="1"/>
    </xf>
    <xf numFmtId="0" fontId="180" fillId="4" borderId="21" xfId="0" applyFont="1" applyFill="1" applyBorder="1" applyAlignment="1" applyProtection="1">
      <alignment vertical="center"/>
      <protection hidden="1"/>
    </xf>
    <xf numFmtId="0" fontId="8" fillId="4" borderId="21" xfId="0" applyFont="1" applyFill="1" applyBorder="1" applyAlignment="1" applyProtection="1">
      <alignment vertical="center"/>
      <protection hidden="1"/>
    </xf>
    <xf numFmtId="0" fontId="169" fillId="4" borderId="22" xfId="0" applyFont="1" applyFill="1" applyBorder="1" applyAlignment="1" applyProtection="1">
      <alignment vertical="center"/>
      <protection hidden="1"/>
    </xf>
    <xf numFmtId="0" fontId="180" fillId="4" borderId="22" xfId="0" applyFont="1" applyFill="1" applyBorder="1" applyAlignment="1" applyProtection="1">
      <alignment vertical="center"/>
      <protection hidden="1"/>
    </xf>
    <xf numFmtId="0" fontId="8" fillId="4" borderId="22" xfId="0" applyFont="1" applyFill="1" applyBorder="1" applyAlignment="1" applyProtection="1">
      <alignment vertical="center"/>
      <protection hidden="1"/>
    </xf>
    <xf numFmtId="0" fontId="77" fillId="4" borderId="16" xfId="0" applyFont="1" applyFill="1" applyBorder="1" applyAlignment="1" applyProtection="1">
      <alignment horizontal="center" vertical="center"/>
      <protection hidden="1"/>
    </xf>
    <xf numFmtId="0" fontId="77" fillId="4" borderId="2" xfId="0" applyFont="1" applyFill="1" applyBorder="1" applyAlignment="1" applyProtection="1">
      <alignment horizontal="center" vertical="center"/>
      <protection hidden="1"/>
    </xf>
    <xf numFmtId="0" fontId="0" fillId="4" borderId="16" xfId="0" applyFont="1" applyFill="1" applyBorder="1" applyAlignment="1" applyProtection="1">
      <alignment vertical="center"/>
      <protection hidden="1"/>
    </xf>
    <xf numFmtId="0" fontId="60" fillId="2" borderId="22" xfId="0" applyFont="1" applyFill="1" applyBorder="1" applyAlignment="1" applyProtection="1">
      <alignment vertical="center"/>
      <protection locked="0"/>
    </xf>
    <xf numFmtId="0" fontId="60" fillId="2" borderId="16" xfId="0" applyFont="1" applyFill="1" applyBorder="1" applyAlignment="1" applyProtection="1">
      <alignment vertical="center"/>
      <protection locked="0"/>
    </xf>
    <xf numFmtId="0" fontId="8" fillId="4" borderId="4" xfId="0" applyFont="1" applyFill="1" applyBorder="1" applyAlignment="1" applyProtection="1">
      <alignment vertical="center"/>
      <protection hidden="1"/>
    </xf>
    <xf numFmtId="0" fontId="58" fillId="5" borderId="0" xfId="0" applyFont="1" applyFill="1" applyAlignment="1" applyProtection="1">
      <alignment vertical="center"/>
      <protection hidden="1"/>
    </xf>
    <xf numFmtId="0" fontId="169" fillId="4" borderId="4" xfId="0" applyFont="1" applyFill="1" applyBorder="1" applyAlignment="1" applyProtection="1">
      <alignment vertical="center"/>
      <protection hidden="1"/>
    </xf>
    <xf numFmtId="0" fontId="180" fillId="4" borderId="4" xfId="0" applyFont="1" applyFill="1" applyBorder="1" applyAlignment="1" applyProtection="1">
      <alignment vertical="center"/>
      <protection hidden="1"/>
    </xf>
    <xf numFmtId="0" fontId="0" fillId="4" borderId="21" xfId="0" applyFont="1" applyFill="1" applyBorder="1" applyAlignment="1" applyProtection="1">
      <alignment horizontal="center" vertical="center"/>
      <protection hidden="1"/>
    </xf>
    <xf numFmtId="0" fontId="0" fillId="4" borderId="14" xfId="0" applyFont="1" applyFill="1" applyBorder="1" applyAlignment="1" applyProtection="1">
      <alignment vertical="center"/>
      <protection hidden="1"/>
    </xf>
    <xf numFmtId="0" fontId="180" fillId="4" borderId="0" xfId="0" applyFont="1" applyFill="1" applyBorder="1" applyAlignment="1" applyProtection="1">
      <alignment vertical="center"/>
      <protection hidden="1"/>
    </xf>
    <xf numFmtId="0" fontId="181" fillId="4" borderId="16" xfId="0" applyFont="1" applyFill="1" applyBorder="1" applyAlignment="1" applyProtection="1">
      <alignment horizontal="left" vertical="center"/>
      <protection hidden="1"/>
    </xf>
    <xf numFmtId="0" fontId="182" fillId="4" borderId="4" xfId="0" applyFont="1" applyFill="1" applyBorder="1" applyAlignment="1" applyProtection="1">
      <alignment vertical="center"/>
      <protection hidden="1"/>
    </xf>
    <xf numFmtId="0" fontId="183" fillId="4" borderId="4" xfId="0" applyFont="1" applyFill="1" applyBorder="1" applyAlignment="1" applyProtection="1">
      <alignment vertical="center"/>
      <protection hidden="1"/>
    </xf>
    <xf numFmtId="0" fontId="184" fillId="4" borderId="13" xfId="0" applyFont="1" applyFill="1" applyBorder="1" applyAlignment="1" applyProtection="1">
      <alignment horizontal="right" vertical="center"/>
      <protection hidden="1"/>
    </xf>
    <xf numFmtId="0" fontId="0" fillId="4" borderId="0" xfId="0" applyFont="1" applyFill="1" applyAlignment="1" applyProtection="1">
      <alignment vertical="center"/>
      <protection hidden="1"/>
    </xf>
    <xf numFmtId="0" fontId="41" fillId="4" borderId="2" xfId="0" applyFont="1" applyFill="1" applyBorder="1" applyAlignment="1" applyProtection="1">
      <alignment horizontal="center" vertical="center"/>
      <protection hidden="1"/>
    </xf>
    <xf numFmtId="0" fontId="31" fillId="4" borderId="0" xfId="0" applyFont="1" applyFill="1" applyBorder="1" applyAlignment="1" applyProtection="1" quotePrefix="1">
      <alignment horizontal="left" vertical="center"/>
      <protection hidden="1"/>
    </xf>
    <xf numFmtId="0" fontId="22" fillId="4" borderId="4" xfId="0" applyFont="1" applyFill="1" applyBorder="1" applyAlignment="1" applyProtection="1">
      <alignment vertical="center"/>
      <protection hidden="1"/>
    </xf>
    <xf numFmtId="0" fontId="40" fillId="4" borderId="4" xfId="0" applyFont="1" applyFill="1" applyBorder="1" applyAlignment="1" applyProtection="1" quotePrefix="1">
      <alignment horizontal="center" vertical="center"/>
      <protection hidden="1"/>
    </xf>
    <xf numFmtId="0" fontId="40" fillId="4" borderId="4" xfId="0" applyFont="1" applyFill="1" applyBorder="1" applyAlignment="1" applyProtection="1">
      <alignment vertical="center"/>
      <protection hidden="1"/>
    </xf>
    <xf numFmtId="0" fontId="31" fillId="4" borderId="4" xfId="0" applyFont="1" applyFill="1" applyBorder="1" applyAlignment="1" applyProtection="1">
      <alignment vertical="center"/>
      <protection hidden="1"/>
    </xf>
    <xf numFmtId="0" fontId="77" fillId="4" borderId="4" xfId="0" applyFont="1" applyFill="1" applyBorder="1" applyAlignment="1" applyProtection="1">
      <alignment horizontal="left" vertical="center"/>
      <protection hidden="1"/>
    </xf>
    <xf numFmtId="0" fontId="51" fillId="4" borderId="4" xfId="0" applyFont="1" applyFill="1" applyBorder="1" applyAlignment="1" applyProtection="1">
      <alignment vertical="center"/>
      <protection hidden="1"/>
    </xf>
    <xf numFmtId="0" fontId="0" fillId="4" borderId="0" xfId="0" applyFont="1" applyFill="1" applyBorder="1" applyAlignment="1">
      <alignment/>
    </xf>
    <xf numFmtId="0" fontId="143" fillId="4" borderId="21" xfId="0" applyFont="1" applyFill="1" applyBorder="1" applyAlignment="1" applyProtection="1">
      <alignment horizontal="right"/>
      <protection hidden="1"/>
    </xf>
    <xf numFmtId="0" fontId="185" fillId="4" borderId="4" xfId="0" applyFont="1" applyFill="1" applyBorder="1" applyAlignment="1" applyProtection="1">
      <alignment horizontal="left" vertical="center"/>
      <protection hidden="1"/>
    </xf>
    <xf numFmtId="0" fontId="22" fillId="4" borderId="1" xfId="0" applyFont="1" applyFill="1" applyBorder="1" applyAlignment="1" applyProtection="1">
      <alignment horizontal="left"/>
      <protection hidden="1"/>
    </xf>
    <xf numFmtId="0" fontId="22" fillId="4" borderId="14" xfId="0" applyFont="1" applyFill="1" applyBorder="1" applyAlignment="1" applyProtection="1">
      <alignment/>
      <protection hidden="1"/>
    </xf>
    <xf numFmtId="0" fontId="77" fillId="4" borderId="21" xfId="0" applyFont="1" applyFill="1" applyBorder="1" applyAlignment="1" applyProtection="1">
      <alignment horizontal="left" vertical="center"/>
      <protection hidden="1"/>
    </xf>
    <xf numFmtId="0" fontId="185" fillId="4" borderId="0" xfId="0" applyFont="1" applyFill="1" applyBorder="1" applyAlignment="1" applyProtection="1">
      <alignment horizontal="left" vertical="center"/>
      <protection hidden="1"/>
    </xf>
    <xf numFmtId="0" fontId="22" fillId="4" borderId="7" xfId="0" applyFont="1" applyFill="1" applyBorder="1" applyAlignment="1" applyProtection="1">
      <alignment horizontal="left"/>
      <protection hidden="1"/>
    </xf>
    <xf numFmtId="0" fontId="22" fillId="4" borderId="23" xfId="0" applyFont="1" applyFill="1" applyBorder="1" applyAlignment="1" applyProtection="1">
      <alignment/>
      <protection hidden="1"/>
    </xf>
    <xf numFmtId="0" fontId="185" fillId="4" borderId="21" xfId="0" applyFont="1" applyFill="1" applyBorder="1" applyAlignment="1" applyProtection="1">
      <alignment horizontal="left" vertical="center"/>
      <protection hidden="1"/>
    </xf>
    <xf numFmtId="0" fontId="22" fillId="4" borderId="6" xfId="0" applyFont="1" applyFill="1" applyBorder="1" applyAlignment="1" applyProtection="1">
      <alignment horizontal="left"/>
      <protection hidden="1"/>
    </xf>
    <xf numFmtId="0" fontId="22" fillId="4" borderId="8" xfId="0" applyFont="1" applyFill="1" applyBorder="1" applyAlignment="1" applyProtection="1">
      <alignment/>
      <protection hidden="1"/>
    </xf>
    <xf numFmtId="0" fontId="143" fillId="4" borderId="4" xfId="0" applyFont="1" applyFill="1" applyBorder="1" applyAlignment="1" applyProtection="1">
      <alignment horizontal="right"/>
      <protection hidden="1"/>
    </xf>
    <xf numFmtId="0" fontId="61" fillId="2" borderId="16" xfId="0" applyFont="1" applyFill="1" applyBorder="1" applyAlignment="1" applyProtection="1">
      <alignment horizontal="center" vertical="center"/>
      <protection locked="0"/>
    </xf>
    <xf numFmtId="0" fontId="61" fillId="2" borderId="13" xfId="0" applyFont="1" applyFill="1" applyBorder="1" applyAlignment="1" applyProtection="1">
      <alignment vertical="center"/>
      <protection locked="0"/>
    </xf>
    <xf numFmtId="0" fontId="128" fillId="4" borderId="16" xfId="0" applyFont="1" applyFill="1" applyBorder="1" applyAlignment="1" applyProtection="1">
      <alignment horizontal="center" vertical="center"/>
      <protection hidden="1"/>
    </xf>
    <xf numFmtId="0" fontId="61" fillId="2" borderId="13" xfId="0" applyFont="1" applyFill="1" applyBorder="1" applyAlignment="1" applyProtection="1" quotePrefix="1">
      <alignment horizontal="center" vertical="center"/>
      <protection locked="0"/>
    </xf>
    <xf numFmtId="0" fontId="39" fillId="4" borderId="0" xfId="0" applyFont="1" applyFill="1" applyAlignment="1" applyProtection="1">
      <alignment vertical="center"/>
      <protection hidden="1"/>
    </xf>
    <xf numFmtId="0" fontId="0" fillId="4" borderId="21" xfId="0" applyFont="1" applyFill="1" applyBorder="1" applyAlignment="1" applyProtection="1">
      <alignment/>
      <protection hidden="1"/>
    </xf>
    <xf numFmtId="0" fontId="51" fillId="4" borderId="0" xfId="0" applyFont="1" applyFill="1" applyBorder="1" applyAlignment="1" applyProtection="1">
      <alignment vertical="center"/>
      <protection hidden="1"/>
    </xf>
    <xf numFmtId="0" fontId="88" fillId="0" borderId="0" xfId="0" applyFont="1" applyFill="1" applyBorder="1" applyAlignment="1" applyProtection="1">
      <alignment horizontal="left" vertical="center"/>
      <protection hidden="1"/>
    </xf>
    <xf numFmtId="0" fontId="40" fillId="4" borderId="65" xfId="0" applyFont="1" applyFill="1" applyBorder="1" applyAlignment="1" applyProtection="1">
      <alignment horizontal="left" vertical="center"/>
      <protection hidden="1"/>
    </xf>
    <xf numFmtId="0" fontId="40" fillId="4" borderId="28" xfId="0" applyFont="1" applyFill="1" applyBorder="1" applyAlignment="1" applyProtection="1">
      <alignment horizontal="left" vertical="center"/>
      <protection hidden="1"/>
    </xf>
    <xf numFmtId="0" fontId="0" fillId="4" borderId="26" xfId="0" applyFont="1" applyFill="1" applyBorder="1" applyAlignment="1" applyProtection="1">
      <alignment/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0" fontId="10" fillId="4" borderId="0" xfId="0" applyFont="1" applyFill="1" applyAlignment="1" applyProtection="1">
      <alignment vertical="center"/>
      <protection hidden="1"/>
    </xf>
    <xf numFmtId="0" fontId="81" fillId="0" borderId="0" xfId="0" applyFont="1" applyBorder="1" applyAlignment="1" applyProtection="1">
      <alignment horizontal="left" vertical="center"/>
      <protection hidden="1"/>
    </xf>
    <xf numFmtId="0" fontId="10" fillId="4" borderId="16" xfId="0" applyFont="1" applyFill="1" applyBorder="1" applyAlignment="1" applyProtection="1">
      <alignment horizontal="left" vertical="center"/>
      <protection hidden="1"/>
    </xf>
    <xf numFmtId="0" fontId="187" fillId="4" borderId="4" xfId="0" applyFont="1" applyFill="1" applyBorder="1" applyAlignment="1" applyProtection="1">
      <alignment vertical="center"/>
      <protection hidden="1"/>
    </xf>
    <xf numFmtId="0" fontId="185" fillId="4" borderId="4" xfId="0" applyFont="1" applyFill="1" applyBorder="1" applyAlignment="1" applyProtection="1">
      <alignment vertical="center"/>
      <protection hidden="1"/>
    </xf>
    <xf numFmtId="0" fontId="10" fillId="4" borderId="16" xfId="0" applyFont="1" applyFill="1" applyBorder="1" applyAlignment="1" applyProtection="1">
      <alignment vertical="center"/>
      <protection hidden="1"/>
    </xf>
    <xf numFmtId="0" fontId="10" fillId="4" borderId="4" xfId="0" applyFont="1" applyFill="1" applyBorder="1" applyAlignment="1" applyProtection="1">
      <alignment horizontal="left" vertical="center"/>
      <protection hidden="1"/>
    </xf>
    <xf numFmtId="0" fontId="10" fillId="4" borderId="4" xfId="0" applyFont="1" applyFill="1" applyBorder="1" applyAlignment="1" applyProtection="1">
      <alignment vertical="center"/>
      <protection hidden="1"/>
    </xf>
    <xf numFmtId="0" fontId="10" fillId="4" borderId="13" xfId="0" applyFont="1" applyFill="1" applyBorder="1" applyAlignment="1" applyProtection="1">
      <alignment vertical="center"/>
      <protection hidden="1"/>
    </xf>
    <xf numFmtId="0" fontId="10" fillId="4" borderId="13" xfId="0" applyFont="1" applyFill="1" applyBorder="1" applyAlignment="1" applyProtection="1">
      <alignment horizontal="left" vertical="center"/>
      <protection hidden="1"/>
    </xf>
    <xf numFmtId="0" fontId="188" fillId="4" borderId="13" xfId="0" applyFont="1" applyFill="1" applyBorder="1" applyAlignment="1" applyProtection="1">
      <alignment horizontal="right"/>
      <protection hidden="1"/>
    </xf>
    <xf numFmtId="0" fontId="187" fillId="4" borderId="21" xfId="0" applyFont="1" applyFill="1" applyBorder="1" applyAlignment="1" applyProtection="1">
      <alignment vertical="center"/>
      <protection hidden="1"/>
    </xf>
    <xf numFmtId="0" fontId="185" fillId="4" borderId="21" xfId="0" applyFont="1" applyFill="1" applyBorder="1" applyAlignment="1" applyProtection="1">
      <alignment vertical="center"/>
      <protection hidden="1"/>
    </xf>
    <xf numFmtId="0" fontId="80" fillId="0" borderId="0" xfId="0" applyFont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horizontal="left" vertical="center"/>
      <protection hidden="1"/>
    </xf>
    <xf numFmtId="0" fontId="10" fillId="0" borderId="0" xfId="0" applyFont="1" applyAlignment="1" applyProtection="1">
      <alignment horizontal="left" vertical="center"/>
      <protection hidden="1"/>
    </xf>
    <xf numFmtId="0" fontId="41" fillId="0" borderId="0" xfId="0" applyFont="1" applyFill="1" applyBorder="1" applyAlignment="1" applyProtection="1">
      <alignment horizontal="left" vertical="center"/>
      <protection hidden="1"/>
    </xf>
    <xf numFmtId="0" fontId="10" fillId="4" borderId="1" xfId="0" applyFont="1" applyFill="1" applyBorder="1" applyAlignment="1" applyProtection="1">
      <alignment horizontal="left" vertical="center"/>
      <protection hidden="1"/>
    </xf>
    <xf numFmtId="0" fontId="10" fillId="4" borderId="21" xfId="0" applyFont="1" applyFill="1" applyBorder="1" applyAlignment="1" applyProtection="1">
      <alignment horizontal="left" vertical="center"/>
      <protection hidden="1"/>
    </xf>
    <xf numFmtId="0" fontId="10" fillId="4" borderId="14" xfId="0" applyFont="1" applyFill="1" applyBorder="1" applyAlignment="1" applyProtection="1">
      <alignment horizontal="left" vertical="center"/>
      <protection hidden="1"/>
    </xf>
    <xf numFmtId="0" fontId="10" fillId="4" borderId="7" xfId="0" applyFont="1" applyFill="1" applyBorder="1" applyAlignment="1" applyProtection="1">
      <alignment horizontal="left" vertical="center"/>
      <protection hidden="1"/>
    </xf>
    <xf numFmtId="0" fontId="187" fillId="4" borderId="0" xfId="0" applyFont="1" applyFill="1" applyBorder="1" applyAlignment="1" applyProtection="1">
      <alignment vertical="center"/>
      <protection hidden="1"/>
    </xf>
    <xf numFmtId="0" fontId="10" fillId="4" borderId="23" xfId="0" applyFont="1" applyFill="1" applyBorder="1" applyAlignment="1" applyProtection="1">
      <alignment horizontal="left" vertical="center"/>
      <protection hidden="1"/>
    </xf>
    <xf numFmtId="0" fontId="10" fillId="4" borderId="0" xfId="0" applyFont="1" applyFill="1" applyBorder="1" applyAlignment="1" applyProtection="1">
      <alignment horizontal="left" vertical="center"/>
      <protection hidden="1"/>
    </xf>
    <xf numFmtId="0" fontId="10" fillId="4" borderId="6" xfId="0" applyFont="1" applyFill="1" applyBorder="1" applyAlignment="1" applyProtection="1">
      <alignment horizontal="left" vertical="center"/>
      <protection hidden="1"/>
    </xf>
    <xf numFmtId="0" fontId="187" fillId="4" borderId="22" xfId="0" applyFont="1" applyFill="1" applyBorder="1" applyAlignment="1" applyProtection="1">
      <alignment vertical="center"/>
      <protection hidden="1"/>
    </xf>
    <xf numFmtId="0" fontId="10" fillId="4" borderId="22" xfId="0" applyFont="1" applyFill="1" applyBorder="1" applyAlignment="1" applyProtection="1">
      <alignment horizontal="left" vertical="center"/>
      <protection hidden="1"/>
    </xf>
    <xf numFmtId="0" fontId="10" fillId="4" borderId="8" xfId="0" applyFont="1" applyFill="1" applyBorder="1" applyAlignment="1" applyProtection="1">
      <alignment horizontal="left" vertical="center"/>
      <protection hidden="1"/>
    </xf>
    <xf numFmtId="0" fontId="10" fillId="3" borderId="16" xfId="0" applyFont="1" applyFill="1" applyBorder="1" applyAlignment="1" applyProtection="1">
      <alignment horizontal="left" vertical="center"/>
      <protection hidden="1"/>
    </xf>
    <xf numFmtId="0" fontId="10" fillId="3" borderId="4" xfId="0" applyFont="1" applyFill="1" applyBorder="1" applyAlignment="1" applyProtection="1">
      <alignment horizontal="left" vertical="center"/>
      <protection hidden="1"/>
    </xf>
    <xf numFmtId="0" fontId="10" fillId="3" borderId="13" xfId="0" applyFont="1" applyFill="1" applyBorder="1" applyAlignment="1" applyProtection="1">
      <alignment horizontal="left" vertical="center"/>
      <protection hidden="1"/>
    </xf>
    <xf numFmtId="0" fontId="89" fillId="4" borderId="4" xfId="0" applyFont="1" applyFill="1" applyBorder="1" applyAlignment="1" applyProtection="1">
      <alignment vertical="center"/>
      <protection hidden="1"/>
    </xf>
    <xf numFmtId="0" fontId="58" fillId="3" borderId="0" xfId="0" applyFont="1" applyFill="1" applyAlignment="1" applyProtection="1">
      <alignment horizontal="center" vertical="center"/>
      <protection hidden="1"/>
    </xf>
    <xf numFmtId="0" fontId="80" fillId="0" borderId="0" xfId="0" applyFont="1" applyAlignment="1" applyProtection="1">
      <alignment horizontal="left" vertical="center"/>
      <protection hidden="1"/>
    </xf>
    <xf numFmtId="0" fontId="10" fillId="0" borderId="0" xfId="0" applyFont="1" applyAlignment="1" applyProtection="1">
      <alignment horizontal="left"/>
      <protection hidden="1"/>
    </xf>
    <xf numFmtId="0" fontId="10" fillId="0" borderId="0" xfId="0" applyFont="1" applyFill="1" applyBorder="1" applyAlignment="1" applyProtection="1">
      <alignment horizontal="right" vertical="center"/>
      <protection hidden="1"/>
    </xf>
    <xf numFmtId="0" fontId="143" fillId="4" borderId="2" xfId="0" applyFont="1" applyFill="1" applyBorder="1" applyAlignment="1" applyProtection="1">
      <alignment horizontal="right"/>
      <protection hidden="1"/>
    </xf>
    <xf numFmtId="0" fontId="128" fillId="4" borderId="2" xfId="0" applyFont="1" applyFill="1" applyBorder="1" applyAlignment="1" applyProtection="1">
      <alignment horizontal="right"/>
      <protection hidden="1"/>
    </xf>
    <xf numFmtId="0" fontId="165" fillId="4" borderId="2" xfId="0" applyFont="1" applyFill="1" applyBorder="1" applyAlignment="1" applyProtection="1">
      <alignment horizontal="center" vertical="center"/>
      <protection hidden="1"/>
    </xf>
    <xf numFmtId="0" fontId="128" fillId="4" borderId="2" xfId="0" applyFont="1" applyFill="1" applyBorder="1" applyAlignment="1" applyProtection="1">
      <alignment horizontal="right" vertical="center"/>
      <protection hidden="1"/>
    </xf>
    <xf numFmtId="0" fontId="165" fillId="4" borderId="2" xfId="0" applyFont="1" applyFill="1" applyBorder="1" applyAlignment="1" applyProtection="1">
      <alignment horizontal="right"/>
      <protection hidden="1"/>
    </xf>
    <xf numFmtId="0" fontId="80" fillId="4" borderId="16" xfId="0" applyFont="1" applyFill="1" applyBorder="1" applyAlignment="1" applyProtection="1">
      <alignment horizontal="left" vertical="center"/>
      <protection hidden="1"/>
    </xf>
    <xf numFmtId="0" fontId="10" fillId="4" borderId="12" xfId="0" applyFont="1" applyFill="1" applyBorder="1" applyAlignment="1" applyProtection="1">
      <alignment horizontal="center" vertical="center"/>
      <protection hidden="1"/>
    </xf>
    <xf numFmtId="0" fontId="89" fillId="4" borderId="16" xfId="0" applyFont="1" applyFill="1" applyBorder="1" applyAlignment="1" applyProtection="1">
      <alignment vertical="center"/>
      <protection hidden="1"/>
    </xf>
    <xf numFmtId="0" fontId="89" fillId="4" borderId="13" xfId="0" applyFont="1" applyFill="1" applyBorder="1" applyAlignment="1" applyProtection="1">
      <alignment horizontal="center" vertical="center"/>
      <protection hidden="1"/>
    </xf>
    <xf numFmtId="0" fontId="89" fillId="4" borderId="12" xfId="0" applyFont="1" applyFill="1" applyBorder="1" applyAlignment="1" applyProtection="1">
      <alignment horizontal="center" vertical="center"/>
      <protection hidden="1"/>
    </xf>
    <xf numFmtId="0" fontId="80" fillId="0" borderId="0" xfId="0" applyFont="1" applyFill="1" applyBorder="1" applyAlignment="1" applyProtection="1">
      <alignment horizontal="left" vertical="center"/>
      <protection hidden="1"/>
    </xf>
    <xf numFmtId="0" fontId="89" fillId="4" borderId="2" xfId="0" applyFont="1" applyFill="1" applyBorder="1" applyAlignment="1" applyProtection="1">
      <alignment horizontal="center" vertical="center"/>
      <protection hidden="1"/>
    </xf>
    <xf numFmtId="0" fontId="189" fillId="0" borderId="0" xfId="0" applyFont="1" applyAlignment="1" applyProtection="1">
      <alignment/>
      <protection hidden="1"/>
    </xf>
    <xf numFmtId="11" fontId="54" fillId="2" borderId="2" xfId="0" applyNumberFormat="1" applyFont="1" applyFill="1" applyBorder="1" applyAlignment="1" applyProtection="1">
      <alignment horizontal="center" vertical="center"/>
      <protection locked="0"/>
    </xf>
    <xf numFmtId="0" fontId="0" fillId="4" borderId="12" xfId="0" applyFont="1" applyFill="1" applyBorder="1" applyAlignment="1" applyProtection="1">
      <alignment horizontal="center" vertical="center"/>
      <protection hidden="1"/>
    </xf>
  </cellXfs>
  <cellStyles count="8">
    <cellStyle name="Normal" xfId="0"/>
    <cellStyle name="Hyperlink" xfId="15"/>
    <cellStyle name="Percent" xfId="16"/>
    <cellStyle name="Followed Hyperlink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CCFF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25" b="1" i="0" u="none" baseline="0">
                <a:latin typeface="Arial"/>
                <a:ea typeface="Arial"/>
                <a:cs typeface="Arial"/>
              </a:rPr>
              <a:t>KLIZNI DIJAGRAM</a:t>
            </a:r>
          </a:p>
        </c:rich>
      </c:tx>
      <c:layout>
        <c:manualLayout>
          <c:xMode val="factor"/>
          <c:yMode val="factor"/>
          <c:x val="0.0015"/>
          <c:y val="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25"/>
          <c:y val="0.12275"/>
          <c:w val="0.73275"/>
          <c:h val="0.755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KLIZANJE!$D$34:$D$68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KLIZANJE!$E$34:$E$68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KLIZANJE!$I$34:$I$68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1"/>
        </c:ser>
        <c:ser>
          <c:idx val="3"/>
          <c:order val="3"/>
          <c:spPr>
            <a:ln w="254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KLIZANJE!$J$34:$J$68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marker val="1"/>
        <c:axId val="14758793"/>
        <c:axId val="65720274"/>
      </c:lineChart>
      <c:catAx>
        <c:axId val="147587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75" b="1" i="0" u="none" baseline="0">
                    <a:latin typeface="Arial"/>
                    <a:ea typeface="Arial"/>
                    <a:cs typeface="Arial"/>
                  </a:rPr>
                  <a:t>Spoljnja temperatura u oC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65720274"/>
        <c:crosses val="autoZero"/>
        <c:auto val="1"/>
        <c:lblOffset val="100"/>
        <c:noMultiLvlLbl val="0"/>
      </c:catAx>
      <c:valAx>
        <c:axId val="657202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75" b="1" i="0" u="none" baseline="0">
                    <a:latin typeface="Arial"/>
                    <a:ea typeface="Arial"/>
                    <a:cs typeface="Arial"/>
                  </a:rPr>
                  <a:t>Temperatura radnih fluida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14758793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257175</xdr:colOff>
      <xdr:row>1</xdr:row>
      <xdr:rowOff>0</xdr:rowOff>
    </xdr:from>
    <xdr:to>
      <xdr:col>11</xdr:col>
      <xdr:colOff>19050</xdr:colOff>
      <xdr:row>3</xdr:row>
      <xdr:rowOff>0</xdr:rowOff>
    </xdr:to>
    <xdr:sp>
      <xdr:nvSpPr>
        <xdr:cNvPr id="1" name="TextBox 245"/>
        <xdr:cNvSpPr txBox="1">
          <a:spLocks noChangeArrowheads="1"/>
        </xdr:cNvSpPr>
      </xdr:nvSpPr>
      <xdr:spPr>
        <a:xfrm>
          <a:off x="2657475" y="161925"/>
          <a:ext cx="396240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GEOMETRIJA RAZMENJIVAČA</a:t>
          </a:r>
        </a:p>
      </xdr:txBody>
    </xdr:sp>
    <xdr:clientData/>
  </xdr:twoCellAnchor>
  <xdr:twoCellAnchor editAs="oneCell">
    <xdr:from>
      <xdr:col>0</xdr:col>
      <xdr:colOff>76200</xdr:colOff>
      <xdr:row>0</xdr:row>
      <xdr:rowOff>66675</xdr:rowOff>
    </xdr:from>
    <xdr:to>
      <xdr:col>1</xdr:col>
      <xdr:colOff>323850</xdr:colOff>
      <xdr:row>4</xdr:row>
      <xdr:rowOff>104775</xdr:rowOff>
    </xdr:to>
    <xdr:pic>
      <xdr:nvPicPr>
        <xdr:cNvPr id="2" name="Picture 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847725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438150</xdr:colOff>
      <xdr:row>0</xdr:row>
      <xdr:rowOff>66675</xdr:rowOff>
    </xdr:from>
    <xdr:to>
      <xdr:col>4</xdr:col>
      <xdr:colOff>276225</xdr:colOff>
      <xdr:row>4</xdr:row>
      <xdr:rowOff>104775</xdr:rowOff>
    </xdr:to>
    <xdr:sp>
      <xdr:nvSpPr>
        <xdr:cNvPr id="3" name="TextBox 270"/>
        <xdr:cNvSpPr txBox="1">
          <a:spLocks noChangeArrowheads="1"/>
        </xdr:cNvSpPr>
      </xdr:nvSpPr>
      <xdr:spPr>
        <a:xfrm>
          <a:off x="1038225" y="66675"/>
          <a:ext cx="1638300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Bahamas YU"/>
              <a:ea typeface="Bahamas YU"/>
              <a:cs typeface="Bahamas YU"/>
            </a:rPr>
            <a:t>Rikalović Milan</a:t>
          </a:r>
          <a:r>
            <a:rPr lang="en-US" cap="none" sz="1000" b="0" i="0" u="none" baseline="0">
              <a:solidFill>
                <a:srgbClr val="0000FF"/>
              </a:solidFill>
              <a:latin typeface="Bahamas Bold YU"/>
              <a:ea typeface="Bahamas Bold YU"/>
              <a:cs typeface="Bahamas Bold YU"/>
            </a:rPr>
            <a:t>
</a:t>
          </a:r>
          <a:r>
            <a:rPr lang="en-US" cap="none" sz="1000" b="0" i="0" u="none" baseline="0">
              <a:solidFill>
                <a:srgbClr val="800080"/>
              </a:solidFill>
              <a:latin typeface="YU L Umrela"/>
              <a:ea typeface="YU L Umrela"/>
              <a:cs typeface="YU L Umrela"/>
            </a:rPr>
            <a:t>DOBOŠASTI RAZMENJIVAČI TOPLOTE
</a:t>
          </a:r>
          <a:r>
            <a:rPr lang="en-US" cap="none" sz="1000" b="0" i="0" u="none" baseline="0">
              <a:solidFill>
                <a:srgbClr val="0000FF"/>
              </a:solidFill>
              <a:latin typeface="Yu Helvetica"/>
              <a:ea typeface="Yu Helvetica"/>
              <a:cs typeface="Yu Helvetica"/>
            </a:rPr>
            <a:t>EXCELOVA PODRŠKA</a:t>
          </a:r>
          <a:r>
            <a:rPr lang="en-US" cap="none" sz="1000" b="0" i="0" u="none" baseline="0">
              <a:solidFill>
                <a:srgbClr val="800080"/>
              </a:solidFill>
              <a:latin typeface="Yu Helvetica"/>
              <a:ea typeface="Yu Helvetica"/>
              <a:cs typeface="Yu Helvetica"/>
            </a:rPr>
            <a:t> 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0</xdr:row>
      <xdr:rowOff>66675</xdr:rowOff>
    </xdr:from>
    <xdr:to>
      <xdr:col>7</xdr:col>
      <xdr:colOff>742950</xdr:colOff>
      <xdr:row>4</xdr:row>
      <xdr:rowOff>104775</xdr:rowOff>
    </xdr:to>
    <xdr:sp>
      <xdr:nvSpPr>
        <xdr:cNvPr id="1" name="TextBox 6"/>
        <xdr:cNvSpPr txBox="1">
          <a:spLocks noChangeArrowheads="1"/>
        </xdr:cNvSpPr>
      </xdr:nvSpPr>
      <xdr:spPr>
        <a:xfrm>
          <a:off x="2657475" y="66675"/>
          <a:ext cx="4019550" cy="685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POMOĆ PRI KORIŠĆENJU 
EXCELOVE PODRŠKE KNJIZI</a:t>
          </a:r>
        </a:p>
      </xdr:txBody>
    </xdr:sp>
    <xdr:clientData/>
  </xdr:twoCellAnchor>
  <xdr:twoCellAnchor>
    <xdr:from>
      <xdr:col>0</xdr:col>
      <xdr:colOff>285750</xdr:colOff>
      <xdr:row>43</xdr:row>
      <xdr:rowOff>104775</xdr:rowOff>
    </xdr:from>
    <xdr:to>
      <xdr:col>8</xdr:col>
      <xdr:colOff>723900</xdr:colOff>
      <xdr:row>146</xdr:row>
      <xdr:rowOff>57150</xdr:rowOff>
    </xdr:to>
    <xdr:sp>
      <xdr:nvSpPr>
        <xdr:cNvPr id="2" name="TextBox 16"/>
        <xdr:cNvSpPr txBox="1">
          <a:spLocks noChangeArrowheads="1"/>
        </xdr:cNvSpPr>
      </xdr:nvSpPr>
      <xdr:spPr>
        <a:xfrm>
          <a:off x="285750" y="7419975"/>
          <a:ext cx="7219950" cy="16630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GEOMETRIJA - Geometrija razmenjivača toplote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Namena</a:t>
          </a:r>
          <a:r>
            <a:rPr lang="en-US" cap="none" sz="11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: 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Aplikacija je namenjena za proračun GEOMETRIJE dobošastih razmenjivača toplote u zavisnosti od zadatih parametara. Pogodna je za jednostavno i brzo definisanje konstrukcije aparata, koja je usaglašena sa potrebnim veličinama za termotehnički i mehanički proračun. 
</a:t>
          </a:r>
          <a:r>
            <a:rPr lang="en-US" cap="none" sz="1100" b="1" i="0" u="sng" baseline="0">
              <a:latin typeface="Arial"/>
              <a:ea typeface="Arial"/>
              <a:cs typeface="Arial"/>
            </a:rPr>
            <a:t>Veza sa knjigom, POGLAVLJE 1.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KPT - Koeficijent prolaza toplote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Namena</a:t>
          </a:r>
          <a:r>
            <a:rPr lang="en-US" cap="none" sz="11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: 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Aplikacija je namenjena za proračun koeficijenta prolaza toplote dobošastih razmenjivača toplote za fluide bez promene faze sa uzdužnim strujanjem, u laminarnom i turbulentnom području prema raznim kriterijalnim jednačinama Pogodna je za jednostavno i brzo računanje koeficijenta prelaza i prolaza toplote prema zadatoj geometriji i režimu rada aparata. 
</a:t>
          </a:r>
          <a:r>
            <a:rPr lang="en-US" cap="none" sz="1100" b="1" i="0" u="sng" baseline="0">
              <a:latin typeface="Arial"/>
              <a:ea typeface="Arial"/>
              <a:cs typeface="Arial"/>
            </a:rPr>
            <a:t>Veza sa knjigom, POGLAVLJE 4.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POPREČNO - Poprečno strujanje u omotaču razmenjivača toplote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Namena</a:t>
          </a:r>
          <a:r>
            <a:rPr lang="en-US" cap="none" sz="11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: 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Aplikacija je namenjena za proračun koeficijenta prolaza toplote dobošastih razmenjivača toplote za fluide bez promene faze sa poprečnim strujanjem u omotaču prema Gnielinskom i Bel-Delevaru. U istoj aplikaciji radi se i proračun pada pritiska poprečno nastrujanog cevnog snopa prema Gadisu i Bel-Delevaru, kao i dimenzionisanje priključka na strani fluida u omotaču. 
</a:t>
          </a:r>
          <a:r>
            <a:rPr lang="en-US" cap="none" sz="1100" b="1" i="0" u="sng" baseline="0">
              <a:latin typeface="Arial"/>
              <a:ea typeface="Arial"/>
              <a:cs typeface="Arial"/>
            </a:rPr>
            <a:t>Veza sa knjigom, POGLAVLJA 4 i 6.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RATING - Rejting problem 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Namena</a:t>
          </a:r>
          <a:r>
            <a:rPr lang="en-US" cap="none" sz="11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Aplikacija je namenjena za rešavanje rejting problema pri termotehničkom proračunu razmenjivača toplote. Istovremeno se proračunavaju: osnovne konfiguracije strujanja, kombinovanna strujanja tipa: 2n1, 4n2, 6n3, 8n4 i 6n2, kao i proizvoljno strujanje prema empirijskoj jednačini konfiguracije. Pogodna je za jednostavno i brzo računanje odziva sistema kada je zadat ulaz i aparat. Svojstva fluida se uzimaju za srednju temperaturu. 
</a:t>
          </a:r>
          <a:r>
            <a:rPr lang="en-US" cap="none" sz="1100" b="1" i="0" u="sng" baseline="0">
              <a:latin typeface="Arial"/>
              <a:ea typeface="Arial"/>
              <a:cs typeface="Arial"/>
            </a:rPr>
            <a:t>Veza sa knjigom, POGLAVLJA 5, 3 i  2.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
Napomena:
Obratiti pažnju pri empirijski zadatoj konfiguraciji da se umesto manjeg i većeg toplotnog ekvivalenta koriste vrednosti ekvivalenta toplijeg i hladnijeg fluida.
</a:t>
          </a:r>
          <a:r>
            <a:rPr lang="en-US" cap="none" sz="11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DESIGN - Dizajn problem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Namena</a:t>
          </a:r>
          <a:r>
            <a:rPr lang="en-US" cap="none" sz="11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: 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Aplikacija je namenjena za rešavanje dizajn problema pri termotehničkom proračunu razmenjivača toplote. Istovremeno se proračunavaju: osnovne konfiguracije strujanja, kombinovanna strujanja tipa: 2n1, 4n2, 6n3, 8n4 i 6n2, kao i za proizvoljno strujanje prema empirijskoj jednačini konfiguracije. Pogodna je za jednostavno i brzo računanje karakteristike aparata kA kada je zadat ulaz i jedna izlazna temperatura fluida. Svojstva fluida se uzimaju za srednju temperaturu. 
</a:t>
          </a:r>
          <a:r>
            <a:rPr lang="en-US" cap="none" sz="1100" b="1" i="0" u="sng" baseline="0">
              <a:latin typeface="Arial"/>
              <a:ea typeface="Arial"/>
              <a:cs typeface="Arial"/>
            </a:rPr>
            <a:t>Veza sa knjigom, POGLAVLJA 5, 3 i 2.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
Napomena:
Obratiti pažnju pri empirijski zadatoj konfiguraciji da se umesto manjeg i većeg toplotnog ekvivalenta koriste vrednosti ekvivalenta toplijeg i hladnijeg fluida.
</a:t>
          </a:r>
          <a:r>
            <a:rPr lang="en-US" cap="none" sz="11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KONDENZACIJA - Zone kondenzacije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Namena</a:t>
          </a:r>
          <a:r>
            <a:rPr lang="en-US" cap="none" sz="11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: 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Aplikacija je namenjena za rešavanje rejting i dizajn problema pri termotehničkom proračunu razmenjivača pri kondenzaciji primara. Proračun se izvodi po zonama kondenzacije HP, K i HK. Istovremeno se rešava rejting i dizajn problem pri čemu su zajednički podaci o protoku i stanju fluida na ulazu u aparat. Mora biti poznat podatak o koeficijentu prelaza i prolaza toplote u zoni hlađenja pare. U zvakoj zoni može se birati konfiguracija aparata za osnovna i kombinovana strujanja, kao i položaj primara u cevi ili u omotaču. 
Pri rejting problemu mora biti zadato ukupno kA za sve zone. Iteracije se sprovode preko entalpije na granici hlađenja, koja se mora pretpostaviti, a zatim usvojiti prema temperaturi pare na granici hlađenja. Ukoliko Excel padne, u kritično polje treba uneti proizvoljnu vrednost primara na izlazu, a zatim polje izračunate vrednosti. 
Pri dizajn problemu se umesto kA zadaje fluid kojem je poznata temperatura na izlazu. I ovde se sprovode iteracije preko entalpije na granici hlađenja pare na isti način kao kod rejting problema.
Ova aplikacija je pogodna je za brzo računanje paramatara izlaza po zonama i za donošenje odluke koliko posebnih aparata predvideti za proces kondenzacije pare. 
</a:t>
          </a:r>
          <a:r>
            <a:rPr lang="en-US" cap="none" sz="1100" b="1" i="0" u="sng" baseline="0">
              <a:latin typeface="Arial"/>
              <a:ea typeface="Arial"/>
              <a:cs typeface="Arial"/>
            </a:rPr>
            <a:t>Veza sa knjigom, POGLAVLJA 5, 2 i 3.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PAD PRITISKA - Pad pritiska u razmenjivaču toplote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Namena</a:t>
          </a:r>
          <a:r>
            <a:rPr lang="en-US" cap="none" sz="11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: 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Aplikacija je namenjena za proračun pada pritiska u razmenjivaču toplote i proračun dimenzija priključaka. Zadaje se geometrija aparata i svojstva fluida koji struji na izabranoj strani razmenjivača. Lokacija fluida može biti u registru i omotaču. U registru je strujanje uvek uzdužno a u omotaču može biti i poprečno. Pri poprečnom strujanju aplikacija se povezuje sa radnim listom POPREČNO iz koga prenosi izračunate padove pritiska. Proračun pada pritiska pri poprečnom strujanju može se vršiti prema Gadisu ili Bel-Delevaru.
Priključci aparata se proračunavaju prema jediničnom padu pritiska, najčešće R=100 Pa/m. 
</a:t>
          </a:r>
          <a:r>
            <a:rPr lang="en-US" cap="none" sz="1100" b="1" i="0" u="sng" baseline="0">
              <a:latin typeface="Arial"/>
              <a:ea typeface="Arial"/>
              <a:cs typeface="Arial"/>
            </a:rPr>
            <a:t>Veza sa knjigom, POGLAVLJA 6 i 1.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KLIZANJE - Klizni dijagram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Namena</a:t>
          </a:r>
          <a:r>
            <a:rPr lang="en-US" cap="none" sz="11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: 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Aplikacija je namenjena za izradu tabela klizanja temperatura na ulazu u grejno telo (razvodna temperatura t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r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) u zavisnosti od spoljašnje temperature.
Daje se istovremeno klizni dijagram za primarni i sekundarni fluid. 
Za izradu dijagrama je potrebno znati temperaturski režim pri spoljnjoj projektnoj temperaturi, specifičnu toplotu na srednjoj temperaturi, kao i kontrolnu spoljnju temperaturu. Dalji postupak se može sprovesti na dva načina.
a) Poznavanjem termičke karakteristike grejnih tela; pri čemu je za sekundarni sistem grejno telo radijator, a u primarnom sistemu grejno telo cevni registar-razmenjivač toplote. 
b) Poznavanjem temperatura primara i sekundara na ulazu u razmenjivač toplote pri kontrolnoj spoljnjoj temperaturi, na osnovu kojih se određuje termička karakteristika grejnih tela za oba sistema. 
Kao rezultat dobijaju  se temperature razvoda i povrata primarnog i sekundarnog sistema, kao i toplotna snaga razmene prema zadatim spoljnjim temperaturama u kontrolisanom području. 
</a:t>
          </a:r>
          <a:r>
            <a:rPr lang="en-US" cap="none" sz="1100" b="1" i="0" u="sng" baseline="0">
              <a:latin typeface="Arial"/>
              <a:ea typeface="Arial"/>
              <a:cs typeface="Arial"/>
            </a:rPr>
            <a:t>Veza sa knjigom, POGLAVLJE 5.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MEHANIKA - Proračun čvrstoće delova razmenjivača pod pritiskom</a:t>
          </a:r>
          <a:r>
            <a:rPr lang="en-US" cap="none" sz="11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Namena</a:t>
          </a:r>
          <a:r>
            <a:rPr lang="en-US" cap="none" sz="11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: 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Aplikacija je namenjena za proračun čvrstoće delova razmenjivača pod pritiskom u skladu sa srpskim standardima (povučeni iz upotrebe - usklađivanje sa EU normama). 
Proračunavaju se:
1. Torisferično ili ravno dance glave i omotača aparata,
2. Omotač pod dejstvom primarnog i sekundarnog fluida,
3. Cevna ploča,
4. Vijčani spoj glava aparata,
5. Prirubnički spoj glave i tela aparata.
</a:t>
          </a:r>
          <a:r>
            <a:rPr lang="en-US" cap="none" sz="1100" b="1" i="0" u="sng" baseline="0">
              <a:latin typeface="Arial"/>
              <a:ea typeface="Arial"/>
              <a:cs typeface="Arial"/>
            </a:rPr>
            <a:t>Veza sa knjigom, POGLAVLJE 7.</a:t>
          </a:r>
          <a:r>
            <a:rPr lang="en-US" cap="none" sz="1100" b="0" i="0" u="none" baseline="0">
              <a:latin typeface="YU L Swiss"/>
              <a:ea typeface="YU L Swiss"/>
              <a:cs typeface="YU L Swiss"/>
            </a:rPr>
            <a:t>
</a:t>
          </a:r>
        </a:p>
      </xdr:txBody>
    </xdr:sp>
    <xdr:clientData/>
  </xdr:twoCellAnchor>
  <xdr:twoCellAnchor editAs="oneCell">
    <xdr:from>
      <xdr:col>0</xdr:col>
      <xdr:colOff>76200</xdr:colOff>
      <xdr:row>0</xdr:row>
      <xdr:rowOff>66675</xdr:rowOff>
    </xdr:from>
    <xdr:to>
      <xdr:col>1</xdr:col>
      <xdr:colOff>76200</xdr:colOff>
      <xdr:row>4</xdr:row>
      <xdr:rowOff>104775</xdr:rowOff>
    </xdr:to>
    <xdr:pic>
      <xdr:nvPicPr>
        <xdr:cNvPr id="3" name="Picture 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847725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190500</xdr:colOff>
      <xdr:row>0</xdr:row>
      <xdr:rowOff>66675</xdr:rowOff>
    </xdr:from>
    <xdr:to>
      <xdr:col>3</xdr:col>
      <xdr:colOff>133350</xdr:colOff>
      <xdr:row>4</xdr:row>
      <xdr:rowOff>104775</xdr:rowOff>
    </xdr:to>
    <xdr:sp>
      <xdr:nvSpPr>
        <xdr:cNvPr id="4" name="TextBox 18"/>
        <xdr:cNvSpPr txBox="1">
          <a:spLocks noChangeArrowheads="1"/>
        </xdr:cNvSpPr>
      </xdr:nvSpPr>
      <xdr:spPr>
        <a:xfrm>
          <a:off x="1038225" y="66675"/>
          <a:ext cx="1638300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Bahamas YU"/>
              <a:ea typeface="Bahamas YU"/>
              <a:cs typeface="Bahamas YU"/>
            </a:rPr>
            <a:t>Rikalović Milan</a:t>
          </a:r>
          <a:r>
            <a:rPr lang="en-US" cap="none" sz="1000" b="0" i="0" u="none" baseline="0">
              <a:solidFill>
                <a:srgbClr val="0000FF"/>
              </a:solidFill>
              <a:latin typeface="Bahamas Bold YU"/>
              <a:ea typeface="Bahamas Bold YU"/>
              <a:cs typeface="Bahamas Bold YU"/>
            </a:rPr>
            <a:t>
</a:t>
          </a:r>
          <a:r>
            <a:rPr lang="en-US" cap="none" sz="1000" b="0" i="0" u="none" baseline="0">
              <a:solidFill>
                <a:srgbClr val="800080"/>
              </a:solidFill>
              <a:latin typeface="YU L Umrela"/>
              <a:ea typeface="YU L Umrela"/>
              <a:cs typeface="YU L Umrela"/>
            </a:rPr>
            <a:t>DOBOŠASTI RAZMENJIVAČI TOPLOTE
</a:t>
          </a:r>
          <a:r>
            <a:rPr lang="en-US" cap="none" sz="1000" b="0" i="0" u="none" baseline="0">
              <a:solidFill>
                <a:srgbClr val="0000FF"/>
              </a:solidFill>
              <a:latin typeface="Yu Helvetica"/>
              <a:ea typeface="Yu Helvetica"/>
              <a:cs typeface="Yu Helvetica"/>
            </a:rPr>
            <a:t>EXCELOVA PODRŠKA</a:t>
          </a:r>
          <a:r>
            <a:rPr lang="en-US" cap="none" sz="1000" b="0" i="0" u="none" baseline="0">
              <a:solidFill>
                <a:srgbClr val="800080"/>
              </a:solidFill>
              <a:latin typeface="Yu Helvetica"/>
              <a:ea typeface="Yu Helvetica"/>
              <a:cs typeface="Yu Helvetica"/>
            </a:rPr>
            <a:t>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66675</xdr:rowOff>
    </xdr:from>
    <xdr:to>
      <xdr:col>1</xdr:col>
      <xdr:colOff>323850</xdr:colOff>
      <xdr:row>4</xdr:row>
      <xdr:rowOff>104775</xdr:rowOff>
    </xdr:to>
    <xdr:pic>
      <xdr:nvPicPr>
        <xdr:cNvPr id="1" name="Picture 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847725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4</xdr:col>
      <xdr:colOff>257175</xdr:colOff>
      <xdr:row>1</xdr:row>
      <xdr:rowOff>0</xdr:rowOff>
    </xdr:from>
    <xdr:to>
      <xdr:col>12</xdr:col>
      <xdr:colOff>104775</xdr:colOff>
      <xdr:row>4</xdr:row>
      <xdr:rowOff>104775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2686050" y="161925"/>
          <a:ext cx="4695825" cy="590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KOEFICIJENT PROLAZA TOPLOTE uzdužno strujanje u omotaču</a:t>
          </a:r>
        </a:p>
      </xdr:txBody>
    </xdr:sp>
    <xdr:clientData/>
  </xdr:twoCellAnchor>
  <xdr:twoCellAnchor>
    <xdr:from>
      <xdr:col>1</xdr:col>
      <xdr:colOff>438150</xdr:colOff>
      <xdr:row>0</xdr:row>
      <xdr:rowOff>66675</xdr:rowOff>
    </xdr:from>
    <xdr:to>
      <xdr:col>4</xdr:col>
      <xdr:colOff>247650</xdr:colOff>
      <xdr:row>4</xdr:row>
      <xdr:rowOff>104775</xdr:rowOff>
    </xdr:to>
    <xdr:sp>
      <xdr:nvSpPr>
        <xdr:cNvPr id="3" name="TextBox 31"/>
        <xdr:cNvSpPr txBox="1">
          <a:spLocks noChangeArrowheads="1"/>
        </xdr:cNvSpPr>
      </xdr:nvSpPr>
      <xdr:spPr>
        <a:xfrm>
          <a:off x="1038225" y="66675"/>
          <a:ext cx="1638300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Bahamas YU"/>
              <a:ea typeface="Bahamas YU"/>
              <a:cs typeface="Bahamas YU"/>
            </a:rPr>
            <a:t>Rikalović Milan</a:t>
          </a:r>
          <a:r>
            <a:rPr lang="en-US" cap="none" sz="1000" b="0" i="0" u="none" baseline="0">
              <a:solidFill>
                <a:srgbClr val="0000FF"/>
              </a:solidFill>
              <a:latin typeface="Bahamas Bold YU"/>
              <a:ea typeface="Bahamas Bold YU"/>
              <a:cs typeface="Bahamas Bold YU"/>
            </a:rPr>
            <a:t>
</a:t>
          </a:r>
          <a:r>
            <a:rPr lang="en-US" cap="none" sz="1000" b="0" i="0" u="none" baseline="0">
              <a:solidFill>
                <a:srgbClr val="800080"/>
              </a:solidFill>
              <a:latin typeface="YU L Umrela"/>
              <a:ea typeface="YU L Umrela"/>
              <a:cs typeface="YU L Umrela"/>
            </a:rPr>
            <a:t>DOBOŠASTI RAZMENJIVAČI TOPLOTE
</a:t>
          </a:r>
          <a:r>
            <a:rPr lang="en-US" cap="none" sz="1000" b="0" i="0" u="none" baseline="0">
              <a:solidFill>
                <a:srgbClr val="0000FF"/>
              </a:solidFill>
              <a:latin typeface="Yu Helvetica"/>
              <a:ea typeface="Yu Helvetica"/>
              <a:cs typeface="Yu Helvetica"/>
            </a:rPr>
            <a:t>EXCELOVA PODRŠKA</a:t>
          </a:r>
          <a:r>
            <a:rPr lang="en-US" cap="none" sz="1000" b="0" i="0" u="none" baseline="0">
              <a:solidFill>
                <a:srgbClr val="800080"/>
              </a:solidFill>
              <a:latin typeface="Yu Helvetica"/>
              <a:ea typeface="Yu Helvetica"/>
              <a:cs typeface="Yu Helvetica"/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257175</xdr:colOff>
      <xdr:row>1</xdr:row>
      <xdr:rowOff>76200</xdr:rowOff>
    </xdr:from>
    <xdr:to>
      <xdr:col>12</xdr:col>
      <xdr:colOff>361950</xdr:colOff>
      <xdr:row>5</xdr:row>
      <xdr:rowOff>123825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2657475" y="238125"/>
          <a:ext cx="4981575" cy="695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POPREČNO STRUJANJE U OMOTAČU
- prelaz toplote i pad pritiska </a:t>
          </a:r>
        </a:p>
      </xdr:txBody>
    </xdr:sp>
    <xdr:clientData/>
  </xdr:twoCellAnchor>
  <xdr:twoCellAnchor editAs="oneCell">
    <xdr:from>
      <xdr:col>0</xdr:col>
      <xdr:colOff>76200</xdr:colOff>
      <xdr:row>0</xdr:row>
      <xdr:rowOff>66675</xdr:rowOff>
    </xdr:from>
    <xdr:to>
      <xdr:col>1</xdr:col>
      <xdr:colOff>323850</xdr:colOff>
      <xdr:row>4</xdr:row>
      <xdr:rowOff>104775</xdr:rowOff>
    </xdr:to>
    <xdr:pic>
      <xdr:nvPicPr>
        <xdr:cNvPr id="2" name="Picture 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847725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438150</xdr:colOff>
      <xdr:row>0</xdr:row>
      <xdr:rowOff>66675</xdr:rowOff>
    </xdr:from>
    <xdr:to>
      <xdr:col>4</xdr:col>
      <xdr:colOff>276225</xdr:colOff>
      <xdr:row>4</xdr:row>
      <xdr:rowOff>104775</xdr:rowOff>
    </xdr:to>
    <xdr:sp>
      <xdr:nvSpPr>
        <xdr:cNvPr id="3" name="TextBox 115"/>
        <xdr:cNvSpPr txBox="1">
          <a:spLocks noChangeArrowheads="1"/>
        </xdr:cNvSpPr>
      </xdr:nvSpPr>
      <xdr:spPr>
        <a:xfrm>
          <a:off x="1038225" y="66675"/>
          <a:ext cx="1638300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Bahamas YU"/>
              <a:ea typeface="Bahamas YU"/>
              <a:cs typeface="Bahamas YU"/>
            </a:rPr>
            <a:t>Rikalović Milan</a:t>
          </a:r>
          <a:r>
            <a:rPr lang="en-US" cap="none" sz="1000" b="0" i="0" u="none" baseline="0">
              <a:solidFill>
                <a:srgbClr val="0000FF"/>
              </a:solidFill>
              <a:latin typeface="Bahamas Bold YU"/>
              <a:ea typeface="Bahamas Bold YU"/>
              <a:cs typeface="Bahamas Bold YU"/>
            </a:rPr>
            <a:t>
</a:t>
          </a:r>
          <a:r>
            <a:rPr lang="en-US" cap="none" sz="1000" b="0" i="0" u="none" baseline="0">
              <a:solidFill>
                <a:srgbClr val="800080"/>
              </a:solidFill>
              <a:latin typeface="YU L Umrela"/>
              <a:ea typeface="YU L Umrela"/>
              <a:cs typeface="YU L Umrela"/>
            </a:rPr>
            <a:t>DOBOŠASTI RAZMENJIVAČI TOPLOTE
</a:t>
          </a:r>
          <a:r>
            <a:rPr lang="en-US" cap="none" sz="1000" b="0" i="0" u="none" baseline="0">
              <a:solidFill>
                <a:srgbClr val="0000FF"/>
              </a:solidFill>
              <a:latin typeface="Yu Helvetica"/>
              <a:ea typeface="Yu Helvetica"/>
              <a:cs typeface="Yu Helvetica"/>
            </a:rPr>
            <a:t>EXCELOVA PODRŠKA</a:t>
          </a:r>
          <a:r>
            <a:rPr lang="en-US" cap="none" sz="1000" b="0" i="0" u="none" baseline="0">
              <a:solidFill>
                <a:srgbClr val="800080"/>
              </a:solidFill>
              <a:latin typeface="Yu Helvetica"/>
              <a:ea typeface="Yu Helvetica"/>
              <a:cs typeface="Yu Helvetica"/>
            </a:rPr>
            <a:t>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257175</xdr:colOff>
      <xdr:row>0</xdr:row>
      <xdr:rowOff>161925</xdr:rowOff>
    </xdr:from>
    <xdr:to>
      <xdr:col>7</xdr:col>
      <xdr:colOff>361950</xdr:colOff>
      <xdr:row>2</xdr:row>
      <xdr:rowOff>161925</xdr:rowOff>
    </xdr:to>
    <xdr:sp>
      <xdr:nvSpPr>
        <xdr:cNvPr id="1" name="TextBox 25"/>
        <xdr:cNvSpPr txBox="1">
          <a:spLocks noChangeArrowheads="1"/>
        </xdr:cNvSpPr>
      </xdr:nvSpPr>
      <xdr:spPr>
        <a:xfrm>
          <a:off x="3448050" y="161925"/>
          <a:ext cx="244792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RATING  PROBLEM</a:t>
          </a:r>
        </a:p>
      </xdr:txBody>
    </xdr:sp>
    <xdr:clientData/>
  </xdr:twoCellAnchor>
  <xdr:twoCellAnchor editAs="oneCell">
    <xdr:from>
      <xdr:col>0</xdr:col>
      <xdr:colOff>76200</xdr:colOff>
      <xdr:row>0</xdr:row>
      <xdr:rowOff>66675</xdr:rowOff>
    </xdr:from>
    <xdr:to>
      <xdr:col>1</xdr:col>
      <xdr:colOff>76200</xdr:colOff>
      <xdr:row>4</xdr:row>
      <xdr:rowOff>104775</xdr:rowOff>
    </xdr:to>
    <xdr:pic>
      <xdr:nvPicPr>
        <xdr:cNvPr id="2" name="Picture 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847725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190500</xdr:colOff>
      <xdr:row>0</xdr:row>
      <xdr:rowOff>66675</xdr:rowOff>
    </xdr:from>
    <xdr:to>
      <xdr:col>3</xdr:col>
      <xdr:colOff>266700</xdr:colOff>
      <xdr:row>4</xdr:row>
      <xdr:rowOff>104775</xdr:rowOff>
    </xdr:to>
    <xdr:sp>
      <xdr:nvSpPr>
        <xdr:cNvPr id="3" name="TextBox 36"/>
        <xdr:cNvSpPr txBox="1">
          <a:spLocks noChangeArrowheads="1"/>
        </xdr:cNvSpPr>
      </xdr:nvSpPr>
      <xdr:spPr>
        <a:xfrm>
          <a:off x="1038225" y="66675"/>
          <a:ext cx="1638300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Bahamas YU"/>
              <a:ea typeface="Bahamas YU"/>
              <a:cs typeface="Bahamas YU"/>
            </a:rPr>
            <a:t>Rikalović Milan</a:t>
          </a:r>
          <a:r>
            <a:rPr lang="en-US" cap="none" sz="1000" b="0" i="0" u="none" baseline="0">
              <a:solidFill>
                <a:srgbClr val="0000FF"/>
              </a:solidFill>
              <a:latin typeface="Bahamas Bold YU"/>
              <a:ea typeface="Bahamas Bold YU"/>
              <a:cs typeface="Bahamas Bold YU"/>
            </a:rPr>
            <a:t>
</a:t>
          </a:r>
          <a:r>
            <a:rPr lang="en-US" cap="none" sz="1000" b="0" i="0" u="none" baseline="0">
              <a:solidFill>
                <a:srgbClr val="800080"/>
              </a:solidFill>
              <a:latin typeface="YU L Umrela"/>
              <a:ea typeface="YU L Umrela"/>
              <a:cs typeface="YU L Umrela"/>
            </a:rPr>
            <a:t>DOBOŠASTI RAZMENJIVAČI TOPLOTE
</a:t>
          </a:r>
          <a:r>
            <a:rPr lang="en-US" cap="none" sz="1000" b="0" i="0" u="none" baseline="0">
              <a:solidFill>
                <a:srgbClr val="0000FF"/>
              </a:solidFill>
              <a:latin typeface="Yu Helvetica"/>
              <a:ea typeface="Yu Helvetica"/>
              <a:cs typeface="Yu Helvetica"/>
            </a:rPr>
            <a:t>EXCELOVA PODRŠKA</a:t>
          </a:r>
          <a:r>
            <a:rPr lang="en-US" cap="none" sz="1000" b="0" i="0" u="none" baseline="0">
              <a:solidFill>
                <a:srgbClr val="800080"/>
              </a:solidFill>
              <a:latin typeface="Yu Helvetica"/>
              <a:ea typeface="Yu Helvetica"/>
              <a:cs typeface="Yu Helvetica"/>
            </a:rPr>
            <a:t>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257175</xdr:colOff>
      <xdr:row>0</xdr:row>
      <xdr:rowOff>161925</xdr:rowOff>
    </xdr:from>
    <xdr:to>
      <xdr:col>7</xdr:col>
      <xdr:colOff>361950</xdr:colOff>
      <xdr:row>2</xdr:row>
      <xdr:rowOff>161925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3448050" y="161925"/>
          <a:ext cx="244792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DESIGN  PROBLEM</a:t>
          </a:r>
        </a:p>
      </xdr:txBody>
    </xdr:sp>
    <xdr:clientData/>
  </xdr:twoCellAnchor>
  <xdr:twoCellAnchor editAs="oneCell">
    <xdr:from>
      <xdr:col>0</xdr:col>
      <xdr:colOff>76200</xdr:colOff>
      <xdr:row>0</xdr:row>
      <xdr:rowOff>66675</xdr:rowOff>
    </xdr:from>
    <xdr:to>
      <xdr:col>1</xdr:col>
      <xdr:colOff>76200</xdr:colOff>
      <xdr:row>4</xdr:row>
      <xdr:rowOff>104775</xdr:rowOff>
    </xdr:to>
    <xdr:pic>
      <xdr:nvPicPr>
        <xdr:cNvPr id="2" name="Picture 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847725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190500</xdr:colOff>
      <xdr:row>0</xdr:row>
      <xdr:rowOff>66675</xdr:rowOff>
    </xdr:from>
    <xdr:to>
      <xdr:col>3</xdr:col>
      <xdr:colOff>266700</xdr:colOff>
      <xdr:row>4</xdr:row>
      <xdr:rowOff>104775</xdr:rowOff>
    </xdr:to>
    <xdr:sp>
      <xdr:nvSpPr>
        <xdr:cNvPr id="3" name="TextBox 45"/>
        <xdr:cNvSpPr txBox="1">
          <a:spLocks noChangeArrowheads="1"/>
        </xdr:cNvSpPr>
      </xdr:nvSpPr>
      <xdr:spPr>
        <a:xfrm>
          <a:off x="1038225" y="66675"/>
          <a:ext cx="1638300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Bahamas YU"/>
              <a:ea typeface="Bahamas YU"/>
              <a:cs typeface="Bahamas YU"/>
            </a:rPr>
            <a:t>Rikalović Milan</a:t>
          </a:r>
          <a:r>
            <a:rPr lang="en-US" cap="none" sz="1000" b="0" i="0" u="none" baseline="0">
              <a:solidFill>
                <a:srgbClr val="0000FF"/>
              </a:solidFill>
              <a:latin typeface="Bahamas Bold YU"/>
              <a:ea typeface="Bahamas Bold YU"/>
              <a:cs typeface="Bahamas Bold YU"/>
            </a:rPr>
            <a:t>
</a:t>
          </a:r>
          <a:r>
            <a:rPr lang="en-US" cap="none" sz="1000" b="0" i="0" u="none" baseline="0">
              <a:solidFill>
                <a:srgbClr val="800080"/>
              </a:solidFill>
              <a:latin typeface="YU L Umrela"/>
              <a:ea typeface="YU L Umrela"/>
              <a:cs typeface="YU L Umrela"/>
            </a:rPr>
            <a:t>DOBOŠASTI RAZMENJIVAČI TOPLOTE
</a:t>
          </a:r>
          <a:r>
            <a:rPr lang="en-US" cap="none" sz="1000" b="0" i="0" u="none" baseline="0">
              <a:solidFill>
                <a:srgbClr val="0000FF"/>
              </a:solidFill>
              <a:latin typeface="Yu Helvetica"/>
              <a:ea typeface="Yu Helvetica"/>
              <a:cs typeface="Yu Helvetica"/>
            </a:rPr>
            <a:t>EXCELOVA PODRŠKA</a:t>
          </a:r>
          <a:r>
            <a:rPr lang="en-US" cap="none" sz="1000" b="0" i="0" u="none" baseline="0">
              <a:solidFill>
                <a:srgbClr val="800080"/>
              </a:solidFill>
              <a:latin typeface="Yu Helvetica"/>
              <a:ea typeface="Yu Helvetica"/>
              <a:cs typeface="Yu Helvetica"/>
            </a:rPr>
            <a:t>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438150</xdr:colOff>
      <xdr:row>1</xdr:row>
      <xdr:rowOff>123825</xdr:rowOff>
    </xdr:from>
    <xdr:to>
      <xdr:col>8</xdr:col>
      <xdr:colOff>57150</xdr:colOff>
      <xdr:row>3</xdr:row>
      <xdr:rowOff>123825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3019425" y="285750"/>
          <a:ext cx="385762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ZONE  KONDENZACIJE</a:t>
          </a:r>
        </a:p>
      </xdr:txBody>
    </xdr:sp>
    <xdr:clientData/>
  </xdr:twoCellAnchor>
  <xdr:twoCellAnchor editAs="oneCell">
    <xdr:from>
      <xdr:col>0</xdr:col>
      <xdr:colOff>76200</xdr:colOff>
      <xdr:row>0</xdr:row>
      <xdr:rowOff>66675</xdr:rowOff>
    </xdr:from>
    <xdr:to>
      <xdr:col>1</xdr:col>
      <xdr:colOff>76200</xdr:colOff>
      <xdr:row>4</xdr:row>
      <xdr:rowOff>104775</xdr:rowOff>
    </xdr:to>
    <xdr:pic>
      <xdr:nvPicPr>
        <xdr:cNvPr id="2" name="Picture 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847725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190500</xdr:colOff>
      <xdr:row>0</xdr:row>
      <xdr:rowOff>66675</xdr:rowOff>
    </xdr:from>
    <xdr:to>
      <xdr:col>3</xdr:col>
      <xdr:colOff>95250</xdr:colOff>
      <xdr:row>4</xdr:row>
      <xdr:rowOff>104775</xdr:rowOff>
    </xdr:to>
    <xdr:sp>
      <xdr:nvSpPr>
        <xdr:cNvPr id="3" name="TextBox 461"/>
        <xdr:cNvSpPr txBox="1">
          <a:spLocks noChangeArrowheads="1"/>
        </xdr:cNvSpPr>
      </xdr:nvSpPr>
      <xdr:spPr>
        <a:xfrm>
          <a:off x="1038225" y="66675"/>
          <a:ext cx="1638300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Bahamas YU"/>
              <a:ea typeface="Bahamas YU"/>
              <a:cs typeface="Bahamas YU"/>
            </a:rPr>
            <a:t>Rikalović Milan</a:t>
          </a:r>
          <a:r>
            <a:rPr lang="en-US" cap="none" sz="1000" b="0" i="0" u="none" baseline="0">
              <a:solidFill>
                <a:srgbClr val="0000FF"/>
              </a:solidFill>
              <a:latin typeface="Bahamas Bold YU"/>
              <a:ea typeface="Bahamas Bold YU"/>
              <a:cs typeface="Bahamas Bold YU"/>
            </a:rPr>
            <a:t>
</a:t>
          </a:r>
          <a:r>
            <a:rPr lang="en-US" cap="none" sz="1000" b="0" i="0" u="none" baseline="0">
              <a:solidFill>
                <a:srgbClr val="800080"/>
              </a:solidFill>
              <a:latin typeface="YU L Umrela"/>
              <a:ea typeface="YU L Umrela"/>
              <a:cs typeface="YU L Umrela"/>
            </a:rPr>
            <a:t>DOBOŠASTI RAZMENJIVAČI TOPLOTE
</a:t>
          </a:r>
          <a:r>
            <a:rPr lang="en-US" cap="none" sz="1000" b="0" i="0" u="none" baseline="0">
              <a:solidFill>
                <a:srgbClr val="0000FF"/>
              </a:solidFill>
              <a:latin typeface="Yu Helvetica"/>
              <a:ea typeface="Yu Helvetica"/>
              <a:cs typeface="Yu Helvetica"/>
            </a:rPr>
            <a:t>EXCELOVA PODRŠKA</a:t>
          </a:r>
          <a:r>
            <a:rPr lang="en-US" cap="none" sz="1000" b="0" i="0" u="none" baseline="0">
              <a:solidFill>
                <a:srgbClr val="800080"/>
              </a:solidFill>
              <a:latin typeface="Yu Helvetica"/>
              <a:ea typeface="Yu Helvetica"/>
              <a:cs typeface="Yu Helvetica"/>
            </a:rPr>
            <a:t>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257175</xdr:colOff>
      <xdr:row>1</xdr:row>
      <xdr:rowOff>0</xdr:rowOff>
    </xdr:from>
    <xdr:to>
      <xdr:col>12</xdr:col>
      <xdr:colOff>19050</xdr:colOff>
      <xdr:row>5</xdr:row>
      <xdr:rowOff>9525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2657475" y="161925"/>
          <a:ext cx="4676775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PAD  PRITISKA U  RAZMENJIVAČU TOPLOTE</a:t>
          </a:r>
        </a:p>
      </xdr:txBody>
    </xdr:sp>
    <xdr:clientData/>
  </xdr:twoCellAnchor>
  <xdr:twoCellAnchor editAs="oneCell">
    <xdr:from>
      <xdr:col>0</xdr:col>
      <xdr:colOff>76200</xdr:colOff>
      <xdr:row>0</xdr:row>
      <xdr:rowOff>66675</xdr:rowOff>
    </xdr:from>
    <xdr:to>
      <xdr:col>1</xdr:col>
      <xdr:colOff>323850</xdr:colOff>
      <xdr:row>4</xdr:row>
      <xdr:rowOff>104775</xdr:rowOff>
    </xdr:to>
    <xdr:pic>
      <xdr:nvPicPr>
        <xdr:cNvPr id="2" name="Picture 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847725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438150</xdr:colOff>
      <xdr:row>0</xdr:row>
      <xdr:rowOff>66675</xdr:rowOff>
    </xdr:from>
    <xdr:to>
      <xdr:col>4</xdr:col>
      <xdr:colOff>276225</xdr:colOff>
      <xdr:row>4</xdr:row>
      <xdr:rowOff>104775</xdr:rowOff>
    </xdr:to>
    <xdr:sp>
      <xdr:nvSpPr>
        <xdr:cNvPr id="3" name="TextBox 68"/>
        <xdr:cNvSpPr txBox="1">
          <a:spLocks noChangeArrowheads="1"/>
        </xdr:cNvSpPr>
      </xdr:nvSpPr>
      <xdr:spPr>
        <a:xfrm>
          <a:off x="1038225" y="66675"/>
          <a:ext cx="1638300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Bahamas YU"/>
              <a:ea typeface="Bahamas YU"/>
              <a:cs typeface="Bahamas YU"/>
            </a:rPr>
            <a:t>Rikalović Milan</a:t>
          </a:r>
          <a:r>
            <a:rPr lang="en-US" cap="none" sz="1000" b="0" i="0" u="none" baseline="0">
              <a:solidFill>
                <a:srgbClr val="0000FF"/>
              </a:solidFill>
              <a:latin typeface="Bahamas Bold YU"/>
              <a:ea typeface="Bahamas Bold YU"/>
              <a:cs typeface="Bahamas Bold YU"/>
            </a:rPr>
            <a:t>
</a:t>
          </a:r>
          <a:r>
            <a:rPr lang="en-US" cap="none" sz="1000" b="0" i="0" u="none" baseline="0">
              <a:solidFill>
                <a:srgbClr val="800080"/>
              </a:solidFill>
              <a:latin typeface="YU L Umrela"/>
              <a:ea typeface="YU L Umrela"/>
              <a:cs typeface="YU L Umrela"/>
            </a:rPr>
            <a:t>DOBOŠASTI RAZMENJIVAČI TOPLOTE
</a:t>
          </a:r>
          <a:r>
            <a:rPr lang="en-US" cap="none" sz="1000" b="0" i="0" u="none" baseline="0">
              <a:solidFill>
                <a:srgbClr val="0000FF"/>
              </a:solidFill>
              <a:latin typeface="Yu Helvetica"/>
              <a:ea typeface="Yu Helvetica"/>
              <a:cs typeface="Yu Helvetica"/>
            </a:rPr>
            <a:t>EXCELOVA PODRŠKA</a:t>
          </a:r>
          <a:r>
            <a:rPr lang="en-US" cap="none" sz="1000" b="0" i="0" u="none" baseline="0">
              <a:solidFill>
                <a:srgbClr val="800080"/>
              </a:solidFill>
              <a:latin typeface="Yu Helvetica"/>
              <a:ea typeface="Yu Helvetica"/>
              <a:cs typeface="Yu Helvetica"/>
            </a:rPr>
            <a:t> 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114300</xdr:colOff>
      <xdr:row>1</xdr:row>
      <xdr:rowOff>0</xdr:rowOff>
    </xdr:from>
    <xdr:to>
      <xdr:col>9</xdr:col>
      <xdr:colOff>142875</xdr:colOff>
      <xdr:row>3</xdr:row>
      <xdr:rowOff>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3162300" y="161925"/>
          <a:ext cx="257175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KLIZNI DIJAGRAM</a:t>
          </a:r>
        </a:p>
      </xdr:txBody>
    </xdr:sp>
    <xdr:clientData/>
  </xdr:twoCellAnchor>
  <xdr:twoCellAnchor>
    <xdr:from>
      <xdr:col>4</xdr:col>
      <xdr:colOff>257175</xdr:colOff>
      <xdr:row>27</xdr:row>
      <xdr:rowOff>0</xdr:rowOff>
    </xdr:from>
    <xdr:to>
      <xdr:col>7</xdr:col>
      <xdr:colOff>361950</xdr:colOff>
      <xdr:row>27</xdr:row>
      <xdr:rowOff>0</xdr:rowOff>
    </xdr:to>
    <xdr:sp>
      <xdr:nvSpPr>
        <xdr:cNvPr id="2" name="TextBox 15"/>
        <xdr:cNvSpPr txBox="1">
          <a:spLocks noChangeArrowheads="1"/>
        </xdr:cNvSpPr>
      </xdr:nvSpPr>
      <xdr:spPr>
        <a:xfrm>
          <a:off x="2695575" y="5172075"/>
          <a:ext cx="2038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8080"/>
              </a:solidFill>
            </a:rPr>
            <a:t>RATING  PROBLEM</a:t>
          </a:r>
        </a:p>
      </xdr:txBody>
    </xdr:sp>
    <xdr:clientData/>
  </xdr:twoCellAnchor>
  <xdr:twoCellAnchor>
    <xdr:from>
      <xdr:col>12</xdr:col>
      <xdr:colOff>0</xdr:colOff>
      <xdr:row>27</xdr:row>
      <xdr:rowOff>0</xdr:rowOff>
    </xdr:from>
    <xdr:to>
      <xdr:col>12</xdr:col>
      <xdr:colOff>0</xdr:colOff>
      <xdr:row>27</xdr:row>
      <xdr:rowOff>0</xdr:rowOff>
    </xdr:to>
    <xdr:sp>
      <xdr:nvSpPr>
        <xdr:cNvPr id="3" name="TextBox 16"/>
        <xdr:cNvSpPr txBox="1">
          <a:spLocks noChangeArrowheads="1"/>
        </xdr:cNvSpPr>
      </xdr:nvSpPr>
      <xdr:spPr>
        <a:xfrm>
          <a:off x="7524750" y="51720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Bahamas YU"/>
              <a:ea typeface="Bahamas YU"/>
              <a:cs typeface="Bahamas YU"/>
            </a:rPr>
            <a:t>Rikalovi} Milan</a:t>
          </a:r>
          <a:r>
            <a:rPr lang="en-US" cap="none" sz="1000" b="0" i="0" u="none" baseline="0">
              <a:solidFill>
                <a:srgbClr val="0000FF"/>
              </a:solidFill>
              <a:latin typeface="Bahamas Bold YU"/>
              <a:ea typeface="Bahamas Bold YU"/>
              <a:cs typeface="Bahamas Bold YU"/>
            </a:rPr>
            <a:t>
</a:t>
          </a:r>
          <a:r>
            <a:rPr lang="en-US" cap="none" sz="1000" b="0" i="0" u="none" baseline="0">
              <a:solidFill>
                <a:srgbClr val="800080"/>
              </a:solidFill>
              <a:latin typeface="YU L Umrela"/>
              <a:ea typeface="YU L Umrela"/>
              <a:cs typeface="YU L Umrela"/>
            </a:rPr>
            <a:t>DOBO[ASTI RAZMENJIVA^I TOPLOTE</a:t>
          </a:r>
        </a:p>
      </xdr:txBody>
    </xdr:sp>
    <xdr:clientData/>
  </xdr:twoCellAnchor>
  <xdr:twoCellAnchor>
    <xdr:from>
      <xdr:col>12</xdr:col>
      <xdr:colOff>0</xdr:colOff>
      <xdr:row>27</xdr:row>
      <xdr:rowOff>0</xdr:rowOff>
    </xdr:from>
    <xdr:to>
      <xdr:col>12</xdr:col>
      <xdr:colOff>0</xdr:colOff>
      <xdr:row>27</xdr:row>
      <xdr:rowOff>0</xdr:rowOff>
    </xdr:to>
    <xdr:sp>
      <xdr:nvSpPr>
        <xdr:cNvPr id="4" name="TextBox 17"/>
        <xdr:cNvSpPr txBox="1">
          <a:spLocks noChangeArrowheads="1"/>
        </xdr:cNvSpPr>
      </xdr:nvSpPr>
      <xdr:spPr>
        <a:xfrm>
          <a:off x="7524750" y="5172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8080"/>
              </a:solidFill>
            </a:rPr>
            <a:t>RATING  PROBLEM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0</xdr:colOff>
      <xdr:row>27</xdr:row>
      <xdr:rowOff>0</xdr:rowOff>
    </xdr:to>
    <xdr:sp>
      <xdr:nvSpPr>
        <xdr:cNvPr id="5" name="TextBox 18"/>
        <xdr:cNvSpPr txBox="1">
          <a:spLocks noChangeArrowheads="1"/>
        </xdr:cNvSpPr>
      </xdr:nvSpPr>
      <xdr:spPr>
        <a:xfrm>
          <a:off x="609600" y="5172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1+R</a:t>
          </a:r>
          <a:r>
            <a:rPr lang="en-US" cap="none" sz="1000" b="0" i="0" u="none" baseline="3000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0</xdr:colOff>
      <xdr:row>27</xdr:row>
      <xdr:rowOff>0</xdr:rowOff>
    </xdr:to>
    <xdr:sp>
      <xdr:nvSpPr>
        <xdr:cNvPr id="6" name="TextBox 19"/>
        <xdr:cNvSpPr txBox="1">
          <a:spLocks noChangeArrowheads="1"/>
        </xdr:cNvSpPr>
      </xdr:nvSpPr>
      <xdr:spPr>
        <a:xfrm>
          <a:off x="609600" y="5172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- R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0</xdr:colOff>
      <xdr:row>27</xdr:row>
      <xdr:rowOff>0</xdr:rowOff>
    </xdr:to>
    <xdr:sp>
      <xdr:nvSpPr>
        <xdr:cNvPr id="7" name="TextBox 20"/>
        <xdr:cNvSpPr txBox="1">
          <a:spLocks noChangeArrowheads="1"/>
        </xdr:cNvSpPr>
      </xdr:nvSpPr>
      <xdr:spPr>
        <a:xfrm>
          <a:off x="609600" y="5172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0</xdr:colOff>
      <xdr:row>27</xdr:row>
      <xdr:rowOff>0</xdr:rowOff>
    </xdr:to>
    <xdr:sp>
      <xdr:nvSpPr>
        <xdr:cNvPr id="8" name="TextBox 21"/>
        <xdr:cNvSpPr txBox="1">
          <a:spLocks noChangeArrowheads="1"/>
        </xdr:cNvSpPr>
      </xdr:nvSpPr>
      <xdr:spPr>
        <a:xfrm>
          <a:off x="609600" y="5172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NTU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e</a:t>
          </a:r>
        </a:p>
      </xdr:txBody>
    </xdr:sp>
    <xdr:clientData/>
  </xdr:twoCellAnchor>
  <xdr:twoCellAnchor>
    <xdr:from>
      <xdr:col>12</xdr:col>
      <xdr:colOff>0</xdr:colOff>
      <xdr:row>27</xdr:row>
      <xdr:rowOff>0</xdr:rowOff>
    </xdr:from>
    <xdr:to>
      <xdr:col>12</xdr:col>
      <xdr:colOff>0</xdr:colOff>
      <xdr:row>27</xdr:row>
      <xdr:rowOff>0</xdr:rowOff>
    </xdr:to>
    <xdr:sp>
      <xdr:nvSpPr>
        <xdr:cNvPr id="9" name="TextBox 22"/>
        <xdr:cNvSpPr txBox="1">
          <a:spLocks noChangeArrowheads="1"/>
        </xdr:cNvSpPr>
      </xdr:nvSpPr>
      <xdr:spPr>
        <a:xfrm>
          <a:off x="7524750" y="5172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1+R</a:t>
          </a:r>
          <a:r>
            <a:rPr lang="en-US" cap="none" sz="1000" b="0" i="0" u="none" baseline="3000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12</xdr:col>
      <xdr:colOff>0</xdr:colOff>
      <xdr:row>27</xdr:row>
      <xdr:rowOff>0</xdr:rowOff>
    </xdr:from>
    <xdr:to>
      <xdr:col>12</xdr:col>
      <xdr:colOff>0</xdr:colOff>
      <xdr:row>27</xdr:row>
      <xdr:rowOff>0</xdr:rowOff>
    </xdr:to>
    <xdr:sp>
      <xdr:nvSpPr>
        <xdr:cNvPr id="10" name="TextBox 23"/>
        <xdr:cNvSpPr txBox="1">
          <a:spLocks noChangeArrowheads="1"/>
        </xdr:cNvSpPr>
      </xdr:nvSpPr>
      <xdr:spPr>
        <a:xfrm>
          <a:off x="7524750" y="5172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- R </a:t>
          </a:r>
        </a:p>
      </xdr:txBody>
    </xdr:sp>
    <xdr:clientData/>
  </xdr:twoCellAnchor>
  <xdr:twoCellAnchor>
    <xdr:from>
      <xdr:col>12</xdr:col>
      <xdr:colOff>0</xdr:colOff>
      <xdr:row>27</xdr:row>
      <xdr:rowOff>0</xdr:rowOff>
    </xdr:from>
    <xdr:to>
      <xdr:col>12</xdr:col>
      <xdr:colOff>0</xdr:colOff>
      <xdr:row>27</xdr:row>
      <xdr:rowOff>0</xdr:rowOff>
    </xdr:to>
    <xdr:sp>
      <xdr:nvSpPr>
        <xdr:cNvPr id="11" name="TextBox 24"/>
        <xdr:cNvSpPr txBox="1">
          <a:spLocks noChangeArrowheads="1"/>
        </xdr:cNvSpPr>
      </xdr:nvSpPr>
      <xdr:spPr>
        <a:xfrm>
          <a:off x="7524750" y="5172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</a:t>
          </a:r>
        </a:p>
      </xdr:txBody>
    </xdr:sp>
    <xdr:clientData/>
  </xdr:twoCellAnchor>
  <xdr:twoCellAnchor>
    <xdr:from>
      <xdr:col>12</xdr:col>
      <xdr:colOff>0</xdr:colOff>
      <xdr:row>27</xdr:row>
      <xdr:rowOff>0</xdr:rowOff>
    </xdr:from>
    <xdr:to>
      <xdr:col>12</xdr:col>
      <xdr:colOff>0</xdr:colOff>
      <xdr:row>27</xdr:row>
      <xdr:rowOff>0</xdr:rowOff>
    </xdr:to>
    <xdr:sp>
      <xdr:nvSpPr>
        <xdr:cNvPr id="12" name="TextBox 25"/>
        <xdr:cNvSpPr txBox="1">
          <a:spLocks noChangeArrowheads="1"/>
        </xdr:cNvSpPr>
      </xdr:nvSpPr>
      <xdr:spPr>
        <a:xfrm>
          <a:off x="7524750" y="5172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NTU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e</a:t>
          </a:r>
        </a:p>
      </xdr:txBody>
    </xdr:sp>
    <xdr:clientData/>
  </xdr:twoCellAnchor>
  <xdr:twoCellAnchor>
    <xdr:from>
      <xdr:col>0</xdr:col>
      <xdr:colOff>219075</xdr:colOff>
      <xdr:row>80</xdr:row>
      <xdr:rowOff>114300</xdr:rowOff>
    </xdr:from>
    <xdr:to>
      <xdr:col>11</xdr:col>
      <xdr:colOff>352425</xdr:colOff>
      <xdr:row>124</xdr:row>
      <xdr:rowOff>114300</xdr:rowOff>
    </xdr:to>
    <xdr:graphicFrame>
      <xdr:nvGraphicFramePr>
        <xdr:cNvPr id="13" name="Chart 26"/>
        <xdr:cNvGraphicFramePr/>
      </xdr:nvGraphicFramePr>
      <xdr:xfrm>
        <a:off x="219075" y="14182725"/>
        <a:ext cx="7048500" cy="712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76200</xdr:colOff>
      <xdr:row>0</xdr:row>
      <xdr:rowOff>66675</xdr:rowOff>
    </xdr:from>
    <xdr:to>
      <xdr:col>1</xdr:col>
      <xdr:colOff>314325</xdr:colOff>
      <xdr:row>4</xdr:row>
      <xdr:rowOff>104775</xdr:rowOff>
    </xdr:to>
    <xdr:pic>
      <xdr:nvPicPr>
        <xdr:cNvPr id="14" name="Picture 19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66675"/>
          <a:ext cx="847725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428625</xdr:colOff>
      <xdr:row>0</xdr:row>
      <xdr:rowOff>66675</xdr:rowOff>
    </xdr:from>
    <xdr:to>
      <xdr:col>4</xdr:col>
      <xdr:colOff>238125</xdr:colOff>
      <xdr:row>4</xdr:row>
      <xdr:rowOff>104775</xdr:rowOff>
    </xdr:to>
    <xdr:sp>
      <xdr:nvSpPr>
        <xdr:cNvPr id="15" name="TextBox 32"/>
        <xdr:cNvSpPr txBox="1">
          <a:spLocks noChangeArrowheads="1"/>
        </xdr:cNvSpPr>
      </xdr:nvSpPr>
      <xdr:spPr>
        <a:xfrm>
          <a:off x="1038225" y="66675"/>
          <a:ext cx="1638300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Bahamas YU"/>
              <a:ea typeface="Bahamas YU"/>
              <a:cs typeface="Bahamas YU"/>
            </a:rPr>
            <a:t>Rikalović Milan</a:t>
          </a:r>
          <a:r>
            <a:rPr lang="en-US" cap="none" sz="1000" b="0" i="0" u="none" baseline="0">
              <a:solidFill>
                <a:srgbClr val="0000FF"/>
              </a:solidFill>
              <a:latin typeface="Bahamas Bold YU"/>
              <a:ea typeface="Bahamas Bold YU"/>
              <a:cs typeface="Bahamas Bold YU"/>
            </a:rPr>
            <a:t>
</a:t>
          </a:r>
          <a:r>
            <a:rPr lang="en-US" cap="none" sz="1000" b="0" i="0" u="none" baseline="0">
              <a:solidFill>
                <a:srgbClr val="800080"/>
              </a:solidFill>
              <a:latin typeface="YU L Umrela"/>
              <a:ea typeface="YU L Umrela"/>
              <a:cs typeface="YU L Umrela"/>
            </a:rPr>
            <a:t>DOBOŠASTI RAZMENJIVAČI TOPLOTE
</a:t>
          </a:r>
          <a:r>
            <a:rPr lang="en-US" cap="none" sz="1000" b="0" i="0" u="none" baseline="0">
              <a:solidFill>
                <a:srgbClr val="0000FF"/>
              </a:solidFill>
              <a:latin typeface="Yu Helvetica"/>
              <a:ea typeface="Yu Helvetica"/>
              <a:cs typeface="Yu Helvetica"/>
            </a:rPr>
            <a:t>EXCELOVA PODRŠKA</a:t>
          </a:r>
          <a:r>
            <a:rPr lang="en-US" cap="none" sz="1000" b="0" i="0" u="none" baseline="0">
              <a:solidFill>
                <a:srgbClr val="800080"/>
              </a:solidFill>
              <a:latin typeface="Yu Helvetica"/>
              <a:ea typeface="Yu Helvetica"/>
              <a:cs typeface="Yu Helvetica"/>
            </a:rPr>
            <a:t> 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0</xdr:row>
      <xdr:rowOff>0</xdr:rowOff>
    </xdr:from>
    <xdr:to>
      <xdr:col>16</xdr:col>
      <xdr:colOff>57150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428875" y="0"/>
          <a:ext cx="7229475" cy="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2" name="Line 15"/>
        <xdr:cNvSpPr>
          <a:spLocks/>
        </xdr:cNvSpPr>
      </xdr:nvSpPr>
      <xdr:spPr>
        <a:xfrm>
          <a:off x="6000750" y="16192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5</xdr:row>
      <xdr:rowOff>0</xdr:rowOff>
    </xdr:to>
    <xdr:sp>
      <xdr:nvSpPr>
        <xdr:cNvPr id="3" name="Line 16"/>
        <xdr:cNvSpPr>
          <a:spLocks/>
        </xdr:cNvSpPr>
      </xdr:nvSpPr>
      <xdr:spPr>
        <a:xfrm>
          <a:off x="6000750" y="80962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476250</xdr:colOff>
      <xdr:row>1</xdr:row>
      <xdr:rowOff>0</xdr:rowOff>
    </xdr:from>
    <xdr:to>
      <xdr:col>12</xdr:col>
      <xdr:colOff>409575</xdr:colOff>
      <xdr:row>4</xdr:row>
      <xdr:rowOff>104775</xdr:rowOff>
    </xdr:to>
    <xdr:sp>
      <xdr:nvSpPr>
        <xdr:cNvPr id="4" name="TextBox 293"/>
        <xdr:cNvSpPr txBox="1">
          <a:spLocks noChangeArrowheads="1"/>
        </xdr:cNvSpPr>
      </xdr:nvSpPr>
      <xdr:spPr>
        <a:xfrm>
          <a:off x="2876550" y="161925"/>
          <a:ext cx="4733925" cy="590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PRORAČUN ČVRSTOĆE</a:t>
          </a:r>
          <a:r>
            <a:rPr lang="en-US" cap="none" sz="1800" b="0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8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 delova razmenjivača toplote pod pritiskom</a:t>
          </a:r>
        </a:p>
      </xdr:txBody>
    </xdr:sp>
    <xdr:clientData/>
  </xdr:twoCellAnchor>
  <xdr:twoCellAnchor editAs="oneCell">
    <xdr:from>
      <xdr:col>0</xdr:col>
      <xdr:colOff>76200</xdr:colOff>
      <xdr:row>0</xdr:row>
      <xdr:rowOff>66675</xdr:rowOff>
    </xdr:from>
    <xdr:to>
      <xdr:col>1</xdr:col>
      <xdr:colOff>323850</xdr:colOff>
      <xdr:row>4</xdr:row>
      <xdr:rowOff>104775</xdr:rowOff>
    </xdr:to>
    <xdr:pic>
      <xdr:nvPicPr>
        <xdr:cNvPr id="5" name="Picture 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847725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438150</xdr:colOff>
      <xdr:row>0</xdr:row>
      <xdr:rowOff>66675</xdr:rowOff>
    </xdr:from>
    <xdr:to>
      <xdr:col>4</xdr:col>
      <xdr:colOff>276225</xdr:colOff>
      <xdr:row>4</xdr:row>
      <xdr:rowOff>104775</xdr:rowOff>
    </xdr:to>
    <xdr:sp>
      <xdr:nvSpPr>
        <xdr:cNvPr id="6" name="TextBox 371"/>
        <xdr:cNvSpPr txBox="1">
          <a:spLocks noChangeArrowheads="1"/>
        </xdr:cNvSpPr>
      </xdr:nvSpPr>
      <xdr:spPr>
        <a:xfrm>
          <a:off x="1038225" y="66675"/>
          <a:ext cx="1638300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Bahamas YU"/>
              <a:ea typeface="Bahamas YU"/>
              <a:cs typeface="Bahamas YU"/>
            </a:rPr>
            <a:t>Rikalović Milan</a:t>
          </a:r>
          <a:r>
            <a:rPr lang="en-US" cap="none" sz="1000" b="0" i="0" u="none" baseline="0">
              <a:solidFill>
                <a:srgbClr val="0000FF"/>
              </a:solidFill>
              <a:latin typeface="Bahamas Bold YU"/>
              <a:ea typeface="Bahamas Bold YU"/>
              <a:cs typeface="Bahamas Bold YU"/>
            </a:rPr>
            <a:t>
</a:t>
          </a:r>
          <a:r>
            <a:rPr lang="en-US" cap="none" sz="1000" b="0" i="0" u="none" baseline="0">
              <a:solidFill>
                <a:srgbClr val="800080"/>
              </a:solidFill>
              <a:latin typeface="YU L Umrela"/>
              <a:ea typeface="YU L Umrela"/>
              <a:cs typeface="YU L Umrela"/>
            </a:rPr>
            <a:t>DOBOŠASTI RAZMENJIVAČI TOPLOTE
</a:t>
          </a:r>
          <a:r>
            <a:rPr lang="en-US" cap="none" sz="1000" b="0" i="0" u="none" baseline="0">
              <a:solidFill>
                <a:srgbClr val="0000FF"/>
              </a:solidFill>
              <a:latin typeface="Yu Helvetica"/>
              <a:ea typeface="Yu Helvetica"/>
              <a:cs typeface="Yu Helvetica"/>
            </a:rPr>
            <a:t>EXCELOVA PODRŠKA</a:t>
          </a:r>
          <a:r>
            <a:rPr lang="en-US" cap="none" sz="1000" b="0" i="0" u="none" baseline="0">
              <a:solidFill>
                <a:srgbClr val="800080"/>
              </a:solidFill>
              <a:latin typeface="Yu Helvetica"/>
              <a:ea typeface="Yu Helvetica"/>
              <a:cs typeface="Yu Helvetica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ilto:proteus.vitus@gmail.com" TargetMode="External" /><Relationship Id="rId2" Type="http://schemas.openxmlformats.org/officeDocument/2006/relationships/hyperlink" Target="http://www.vitus.co.rs/" TargetMode="External" /><Relationship Id="rId3" Type="http://schemas.openxmlformats.org/officeDocument/2006/relationships/hyperlink" Target="mailto:rikalovic.milan@gmail.com" TargetMode="External" /><Relationship Id="rId4" Type="http://schemas.openxmlformats.org/officeDocument/2006/relationships/hyperlink" Target="mailto:vitus@verat.net" TargetMode="External" /><Relationship Id="rId5" Type="http://schemas.openxmlformats.org/officeDocument/2006/relationships/hyperlink" Target="http://www.vitus.co.rs/" TargetMode="External" /><Relationship Id="rId6" Type="http://schemas.openxmlformats.org/officeDocument/2006/relationships/drawing" Target="../drawings/drawing10.xml" /><Relationship Id="rId7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74"/>
  <sheetViews>
    <sheetView showGridLines="0" tabSelected="1" workbookViewId="0" topLeftCell="A1">
      <selection activeCell="F33" sqref="F33"/>
    </sheetView>
  </sheetViews>
  <sheetFormatPr defaultColWidth="9.140625" defaultRowHeight="12.75"/>
  <cols>
    <col min="1" max="4" width="9.00390625" style="163" customWidth="1"/>
    <col min="5" max="5" width="9.00390625" style="344" customWidth="1"/>
    <col min="6" max="13" width="9.00390625" style="163" customWidth="1"/>
    <col min="14" max="16384" width="9.140625" style="163" customWidth="1"/>
  </cols>
  <sheetData>
    <row r="1" spans="5:13" ht="12.75">
      <c r="E1" s="163"/>
      <c r="M1" s="656" t="s">
        <v>285</v>
      </c>
    </row>
    <row r="2" ht="12.75">
      <c r="E2" s="163"/>
    </row>
    <row r="3" ht="12.75">
      <c r="E3" s="163"/>
    </row>
    <row r="4" ht="12.75">
      <c r="E4" s="163"/>
    </row>
    <row r="5" ht="12.75">
      <c r="E5" s="163"/>
    </row>
    <row r="6" spans="1:6" s="180" customFormat="1" ht="15" customHeight="1">
      <c r="A6" s="654"/>
      <c r="B6" s="217"/>
      <c r="C6" s="217"/>
      <c r="D6" s="636"/>
      <c r="E6" s="637"/>
      <c r="F6" s="638"/>
    </row>
    <row r="7" spans="1:9" s="180" customFormat="1" ht="15" customHeight="1">
      <c r="A7" s="654"/>
      <c r="C7" s="882" t="s">
        <v>735</v>
      </c>
      <c r="D7" s="194"/>
      <c r="E7" s="194"/>
      <c r="F7" s="194"/>
      <c r="G7" s="194"/>
      <c r="H7" s="194"/>
      <c r="I7" s="194"/>
    </row>
    <row r="8" spans="1:86" ht="15" customHeight="1">
      <c r="A8" s="883" t="s">
        <v>76</v>
      </c>
      <c r="B8" s="219"/>
      <c r="C8" s="220"/>
      <c r="D8" s="334"/>
      <c r="E8" s="690" t="s">
        <v>302</v>
      </c>
      <c r="F8" s="21">
        <v>0.013</v>
      </c>
      <c r="G8" s="335">
        <f>IF(F8&lt;=M$11/2,"SOS","")</f>
      </c>
      <c r="H8" s="883" t="s">
        <v>745</v>
      </c>
      <c r="I8" s="219"/>
      <c r="J8" s="220"/>
      <c r="K8" s="336"/>
      <c r="L8" s="690" t="s">
        <v>314</v>
      </c>
      <c r="M8" s="21">
        <v>0.5</v>
      </c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80"/>
      <c r="AG8" s="180"/>
      <c r="AH8" s="180"/>
      <c r="AI8" s="180"/>
      <c r="AJ8" s="180"/>
      <c r="AK8" s="180"/>
      <c r="AL8" s="180"/>
      <c r="AM8" s="180"/>
      <c r="AN8" s="180"/>
      <c r="AO8" s="180"/>
      <c r="AP8" s="180"/>
      <c r="AQ8" s="180"/>
      <c r="AR8" s="180"/>
      <c r="AS8" s="180"/>
      <c r="AT8" s="180"/>
      <c r="AU8" s="180"/>
      <c r="AV8" s="180"/>
      <c r="AW8" s="180"/>
      <c r="AX8" s="180"/>
      <c r="AY8" s="180"/>
      <c r="AZ8" s="180"/>
      <c r="BA8" s="180"/>
      <c r="BB8" s="180"/>
      <c r="BC8" s="180"/>
      <c r="BD8" s="180"/>
      <c r="BE8" s="180"/>
      <c r="BF8" s="180"/>
      <c r="BG8" s="180"/>
      <c r="BH8" s="180"/>
      <c r="BI8" s="180"/>
      <c r="BJ8" s="180"/>
      <c r="BK8" s="180"/>
      <c r="BL8" s="180"/>
      <c r="BM8" s="180"/>
      <c r="BN8" s="180"/>
      <c r="BO8" s="180"/>
      <c r="BP8" s="180"/>
      <c r="BQ8" s="180"/>
      <c r="BR8" s="180"/>
      <c r="BS8" s="180"/>
      <c r="BT8" s="180"/>
      <c r="BU8" s="180"/>
      <c r="BV8" s="180"/>
      <c r="BW8" s="180"/>
      <c r="BX8" s="180"/>
      <c r="BY8" s="180"/>
      <c r="BZ8" s="180"/>
      <c r="CA8" s="180"/>
      <c r="CB8" s="180"/>
      <c r="CC8" s="180"/>
      <c r="CD8" s="180"/>
      <c r="CE8" s="180"/>
      <c r="CF8" s="180"/>
      <c r="CG8" s="180"/>
      <c r="CH8" s="180"/>
    </row>
    <row r="9" spans="1:86" ht="15" customHeight="1">
      <c r="A9" s="884" t="s">
        <v>79</v>
      </c>
      <c r="B9" s="233"/>
      <c r="C9" s="234"/>
      <c r="D9" s="337"/>
      <c r="E9" s="690" t="s">
        <v>303</v>
      </c>
      <c r="F9" s="21">
        <v>0.014</v>
      </c>
      <c r="G9" s="335">
        <f>IF(F9&lt;=M$11/2,"SOS","")</f>
      </c>
      <c r="H9" s="884" t="s">
        <v>746</v>
      </c>
      <c r="I9" s="233"/>
      <c r="J9" s="234"/>
      <c r="K9" s="285"/>
      <c r="L9" s="690" t="s">
        <v>315</v>
      </c>
      <c r="M9" s="23">
        <v>0.005</v>
      </c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0"/>
      <c r="AI9" s="180"/>
      <c r="AJ9" s="180"/>
      <c r="AK9" s="180"/>
      <c r="AL9" s="180"/>
      <c r="AM9" s="180"/>
      <c r="AN9" s="180"/>
      <c r="AO9" s="180"/>
      <c r="AP9" s="180"/>
      <c r="AQ9" s="180"/>
      <c r="AR9" s="180"/>
      <c r="AS9" s="180"/>
      <c r="AT9" s="180"/>
      <c r="AU9" s="180"/>
      <c r="AV9" s="180"/>
      <c r="AW9" s="180"/>
      <c r="AX9" s="180"/>
      <c r="AY9" s="180"/>
      <c r="AZ9" s="180"/>
      <c r="BA9" s="180"/>
      <c r="BB9" s="180"/>
      <c r="BC9" s="180"/>
      <c r="BD9" s="180"/>
      <c r="BE9" s="180"/>
      <c r="BF9" s="180"/>
      <c r="BG9" s="180"/>
      <c r="BH9" s="180"/>
      <c r="BI9" s="180"/>
      <c r="BJ9" s="180"/>
      <c r="BK9" s="180"/>
      <c r="BL9" s="180"/>
      <c r="BM9" s="180"/>
      <c r="BN9" s="180"/>
      <c r="BO9" s="180"/>
      <c r="BP9" s="180"/>
      <c r="BQ9" s="180"/>
      <c r="BR9" s="180"/>
      <c r="BS9" s="180"/>
      <c r="BT9" s="180"/>
      <c r="BU9" s="180"/>
      <c r="BV9" s="180"/>
      <c r="BW9" s="180"/>
      <c r="BX9" s="180"/>
      <c r="BY9" s="180"/>
      <c r="BZ9" s="180"/>
      <c r="CA9" s="180"/>
      <c r="CB9" s="180"/>
      <c r="CC9" s="180"/>
      <c r="CD9" s="180"/>
      <c r="CE9" s="180"/>
      <c r="CF9" s="180"/>
      <c r="CG9" s="180"/>
      <c r="CH9" s="180"/>
    </row>
    <row r="10" spans="1:85" ht="15" customHeight="1">
      <c r="A10" s="884" t="s">
        <v>736</v>
      </c>
      <c r="B10" s="233"/>
      <c r="C10" s="234"/>
      <c r="D10" s="337"/>
      <c r="E10" s="690" t="s">
        <v>304</v>
      </c>
      <c r="F10" s="21">
        <v>0.014</v>
      </c>
      <c r="G10" s="335">
        <f>IF(F10&lt;=M$11/2,"SOS","")</f>
      </c>
      <c r="H10" s="885" t="s">
        <v>747</v>
      </c>
      <c r="I10" s="230"/>
      <c r="J10" s="231"/>
      <c r="K10" s="338"/>
      <c r="L10" s="690" t="s">
        <v>316</v>
      </c>
      <c r="M10" s="307">
        <f>M8-2*M9</f>
        <v>0.49</v>
      </c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  <c r="AA10" s="180"/>
      <c r="AB10" s="180"/>
      <c r="AC10" s="180"/>
      <c r="AD10" s="180"/>
      <c r="AE10" s="180"/>
      <c r="AF10" s="180"/>
      <c r="AG10" s="180"/>
      <c r="AH10" s="180"/>
      <c r="AI10" s="180"/>
      <c r="AJ10" s="180"/>
      <c r="AK10" s="180"/>
      <c r="AL10" s="180"/>
      <c r="AM10" s="180"/>
      <c r="AN10" s="180"/>
      <c r="AO10" s="180"/>
      <c r="AP10" s="180"/>
      <c r="AQ10" s="180"/>
      <c r="AR10" s="180"/>
      <c r="AS10" s="180"/>
      <c r="AT10" s="180"/>
      <c r="AU10" s="180"/>
      <c r="AV10" s="180"/>
      <c r="AW10" s="180"/>
      <c r="AX10" s="180"/>
      <c r="AY10" s="180"/>
      <c r="AZ10" s="180"/>
      <c r="BA10" s="180"/>
      <c r="BB10" s="180"/>
      <c r="BC10" s="180"/>
      <c r="BD10" s="180"/>
      <c r="BE10" s="180"/>
      <c r="BF10" s="180"/>
      <c r="BG10" s="180"/>
      <c r="BH10" s="180"/>
      <c r="BI10" s="180"/>
      <c r="BJ10" s="180"/>
      <c r="BK10" s="180"/>
      <c r="BL10" s="180"/>
      <c r="BM10" s="180"/>
      <c r="BN10" s="180"/>
      <c r="BO10" s="180"/>
      <c r="BP10" s="180"/>
      <c r="BQ10" s="180"/>
      <c r="BR10" s="180"/>
      <c r="BS10" s="180"/>
      <c r="BT10" s="180"/>
      <c r="BU10" s="180"/>
      <c r="BV10" s="180"/>
      <c r="BW10" s="180"/>
      <c r="BX10" s="180"/>
      <c r="BY10" s="180"/>
      <c r="BZ10" s="180"/>
      <c r="CA10" s="180"/>
      <c r="CB10" s="180"/>
      <c r="CC10" s="180"/>
      <c r="CD10" s="180"/>
      <c r="CE10" s="180"/>
      <c r="CF10" s="180"/>
      <c r="CG10" s="180"/>
    </row>
    <row r="11" spans="1:86" ht="15" customHeight="1">
      <c r="A11" s="883" t="s">
        <v>77</v>
      </c>
      <c r="B11" s="219"/>
      <c r="C11" s="220"/>
      <c r="D11" s="284"/>
      <c r="E11" s="690" t="s">
        <v>305</v>
      </c>
      <c r="F11" s="21">
        <v>0.0195</v>
      </c>
      <c r="G11" s="335">
        <f>IF(F11&lt;=M$11/2,"SOS","")</f>
      </c>
      <c r="H11" s="890" t="s">
        <v>749</v>
      </c>
      <c r="I11" s="339"/>
      <c r="J11" s="339"/>
      <c r="K11" s="284"/>
      <c r="L11" s="682" t="s">
        <v>317</v>
      </c>
      <c r="M11" s="23">
        <v>0.018</v>
      </c>
      <c r="N11" s="344"/>
      <c r="O11" s="180"/>
      <c r="P11" s="180"/>
      <c r="Q11" s="180"/>
      <c r="R11" s="180"/>
      <c r="S11" s="180"/>
      <c r="T11" s="180"/>
      <c r="U11" s="180"/>
      <c r="V11" s="180"/>
      <c r="W11" s="180"/>
      <c r="X11" s="180"/>
      <c r="Y11" s="180"/>
      <c r="Z11" s="180"/>
      <c r="AA11" s="180"/>
      <c r="AB11" s="180"/>
      <c r="AC11" s="180"/>
      <c r="AD11" s="180"/>
      <c r="AE11" s="180"/>
      <c r="AF11" s="180"/>
      <c r="AG11" s="180"/>
      <c r="AH11" s="180"/>
      <c r="AI11" s="180"/>
      <c r="AJ11" s="180"/>
      <c r="AK11" s="180"/>
      <c r="AL11" s="180"/>
      <c r="AM11" s="180"/>
      <c r="AN11" s="180"/>
      <c r="AO11" s="180"/>
      <c r="AP11" s="180"/>
      <c r="AQ11" s="180"/>
      <c r="AR11" s="180"/>
      <c r="AS11" s="180"/>
      <c r="AT11" s="180"/>
      <c r="AU11" s="180"/>
      <c r="AV11" s="180"/>
      <c r="AW11" s="180"/>
      <c r="AX11" s="180"/>
      <c r="AY11" s="180"/>
      <c r="AZ11" s="180"/>
      <c r="BA11" s="180"/>
      <c r="BB11" s="180"/>
      <c r="BC11" s="180"/>
      <c r="BD11" s="180"/>
      <c r="BE11" s="180"/>
      <c r="BF11" s="180"/>
      <c r="BG11" s="180"/>
      <c r="BH11" s="180"/>
      <c r="BI11" s="180"/>
      <c r="BJ11" s="180"/>
      <c r="BK11" s="180"/>
      <c r="BL11" s="180"/>
      <c r="BM11" s="180"/>
      <c r="BN11" s="180"/>
      <c r="BO11" s="180"/>
      <c r="BP11" s="180"/>
      <c r="BQ11" s="180"/>
      <c r="BR11" s="180"/>
      <c r="BS11" s="180"/>
      <c r="BT11" s="180"/>
      <c r="BU11" s="180"/>
      <c r="BV11" s="180"/>
      <c r="BW11" s="180"/>
      <c r="BX11" s="180"/>
      <c r="BY11" s="180"/>
      <c r="BZ11" s="180"/>
      <c r="CA11" s="180"/>
      <c r="CB11" s="180"/>
      <c r="CC11" s="180"/>
      <c r="CD11" s="180"/>
      <c r="CE11" s="180"/>
      <c r="CF11" s="180"/>
      <c r="CG11" s="180"/>
      <c r="CH11" s="180"/>
    </row>
    <row r="12" spans="1:13" ht="15" customHeight="1">
      <c r="A12" s="884" t="s">
        <v>737</v>
      </c>
      <c r="B12" s="233"/>
      <c r="C12" s="234"/>
      <c r="D12" s="337"/>
      <c r="E12" s="690" t="s">
        <v>306</v>
      </c>
      <c r="F12" s="21">
        <v>0.0225</v>
      </c>
      <c r="G12" s="335">
        <f>IF(F12&lt;=M$11/2,"SOS","")</f>
      </c>
      <c r="H12" s="891" t="s">
        <v>98</v>
      </c>
      <c r="I12" s="194"/>
      <c r="J12" s="194"/>
      <c r="K12" s="285"/>
      <c r="L12" s="682" t="s">
        <v>318</v>
      </c>
      <c r="M12" s="23">
        <v>0.001</v>
      </c>
    </row>
    <row r="13" spans="1:13" ht="15" customHeight="1">
      <c r="A13" s="883" t="s">
        <v>738</v>
      </c>
      <c r="B13" s="219"/>
      <c r="C13" s="220"/>
      <c r="D13" s="334"/>
      <c r="E13" s="722" t="s">
        <v>307</v>
      </c>
      <c r="F13" s="340">
        <f>2*F8-M11</f>
        <v>0.008</v>
      </c>
      <c r="G13" s="335"/>
      <c r="H13" s="885" t="s">
        <v>750</v>
      </c>
      <c r="I13" s="230"/>
      <c r="J13" s="231"/>
      <c r="K13" s="338"/>
      <c r="L13" s="682" t="s">
        <v>319</v>
      </c>
      <c r="M13" s="307">
        <f>M11-2*M12</f>
        <v>0.016</v>
      </c>
    </row>
    <row r="14" spans="1:13" ht="15" customHeight="1">
      <c r="A14" s="884" t="s">
        <v>739</v>
      </c>
      <c r="B14" s="233"/>
      <c r="C14" s="234"/>
      <c r="D14" s="337"/>
      <c r="E14" s="722" t="s">
        <v>308</v>
      </c>
      <c r="F14" s="340">
        <f>2*F11-M11</f>
        <v>0.021</v>
      </c>
      <c r="G14" s="335"/>
      <c r="H14" s="891" t="s">
        <v>748</v>
      </c>
      <c r="I14" s="194"/>
      <c r="J14" s="194"/>
      <c r="K14" s="341"/>
      <c r="L14" s="660" t="s">
        <v>288</v>
      </c>
      <c r="M14" s="23"/>
    </row>
    <row r="15" spans="1:13" ht="15" customHeight="1">
      <c r="A15" s="884" t="s">
        <v>740</v>
      </c>
      <c r="B15" s="230"/>
      <c r="C15" s="231"/>
      <c r="D15" s="342"/>
      <c r="E15" s="722" t="s">
        <v>309</v>
      </c>
      <c r="F15" s="340">
        <f>(F8^2+F11^2)^0.5-M11</f>
        <v>0.005436083290515932</v>
      </c>
      <c r="G15" s="335"/>
      <c r="H15" s="888" t="s">
        <v>744</v>
      </c>
      <c r="I15" s="222"/>
      <c r="J15" s="223"/>
      <c r="K15" s="224"/>
      <c r="L15" s="733" t="s">
        <v>320</v>
      </c>
      <c r="M15" s="307">
        <f>IF($M$14="",$M$11/2+IF(M$9&lt;=0.003,0.004,IF(K8="Cev",INT(1000*M9/2)/1000,M9)),$M$11/2+$M$14)</f>
        <v>0.013999999999999999</v>
      </c>
    </row>
    <row r="16" spans="1:13" ht="15" customHeight="1">
      <c r="A16" s="883" t="s">
        <v>97</v>
      </c>
      <c r="B16" s="219"/>
      <c r="C16" s="220"/>
      <c r="D16" s="284"/>
      <c r="E16" s="682" t="s">
        <v>524</v>
      </c>
      <c r="F16" s="23">
        <v>6</v>
      </c>
      <c r="H16" s="888" t="s">
        <v>751</v>
      </c>
      <c r="I16" s="222"/>
      <c r="J16" s="223"/>
      <c r="K16" s="224"/>
      <c r="L16" s="722" t="s">
        <v>321</v>
      </c>
      <c r="M16" s="307">
        <f>M10/2-M15</f>
        <v>0.23099999999999998</v>
      </c>
    </row>
    <row r="17" spans="1:13" ht="15" customHeight="1">
      <c r="A17" s="885" t="s">
        <v>741</v>
      </c>
      <c r="B17" s="230"/>
      <c r="C17" s="231"/>
      <c r="D17" s="338"/>
      <c r="E17" s="682" t="s">
        <v>525</v>
      </c>
      <c r="F17" s="23">
        <v>2</v>
      </c>
      <c r="H17" s="889" t="s">
        <v>752</v>
      </c>
      <c r="I17" s="169"/>
      <c r="J17" s="169"/>
      <c r="K17" s="169"/>
      <c r="L17" s="734"/>
      <c r="M17" s="343"/>
    </row>
    <row r="18" spans="1:13" ht="15" customHeight="1">
      <c r="A18" s="887" t="s">
        <v>742</v>
      </c>
      <c r="B18" s="166"/>
      <c r="C18" s="166"/>
      <c r="D18" s="166"/>
      <c r="E18" s="681"/>
      <c r="F18" s="23">
        <v>1</v>
      </c>
      <c r="H18" s="888" t="s">
        <v>753</v>
      </c>
      <c r="I18" s="222"/>
      <c r="J18" s="223"/>
      <c r="K18" s="224"/>
      <c r="L18" s="722" t="s">
        <v>530</v>
      </c>
      <c r="M18" s="307">
        <f>INT((0.31*M10-F10-0.2*0.2*M10)/F8)+1</f>
        <v>10</v>
      </c>
    </row>
    <row r="19" spans="1:13" ht="15" customHeight="1">
      <c r="A19" s="883" t="s">
        <v>80</v>
      </c>
      <c r="B19" s="219"/>
      <c r="C19" s="220"/>
      <c r="D19" s="284"/>
      <c r="E19" s="690" t="s">
        <v>526</v>
      </c>
      <c r="F19" s="308">
        <f>INT(((M10/2-M15)-F10)/F8)+1</f>
        <v>17</v>
      </c>
      <c r="H19" s="888" t="s">
        <v>754</v>
      </c>
      <c r="I19" s="222"/>
      <c r="J19" s="223"/>
      <c r="K19" s="224"/>
      <c r="L19" s="722" t="s">
        <v>322</v>
      </c>
      <c r="M19" s="307">
        <f>M10/2-F10-(M18-1)*F8</f>
        <v>0.11399999999999999</v>
      </c>
    </row>
    <row r="20" spans="1:13" ht="15" customHeight="1">
      <c r="A20" s="885" t="s">
        <v>81</v>
      </c>
      <c r="B20" s="230"/>
      <c r="C20" s="231"/>
      <c r="D20" s="338"/>
      <c r="E20" s="690" t="s">
        <v>527</v>
      </c>
      <c r="F20" s="308">
        <f>INT(((M10/2-M15)-F12)/F11)+1</f>
        <v>11</v>
      </c>
      <c r="H20" s="888" t="s">
        <v>755</v>
      </c>
      <c r="I20" s="222"/>
      <c r="J20" s="223"/>
      <c r="K20" s="224"/>
      <c r="L20" s="722" t="s">
        <v>474</v>
      </c>
      <c r="M20" s="639">
        <f>M19/M10</f>
        <v>0.23265306122448978</v>
      </c>
    </row>
    <row r="21" spans="1:13" ht="15" customHeight="1">
      <c r="A21" s="886" t="s">
        <v>743</v>
      </c>
      <c r="B21" s="230"/>
      <c r="C21" s="231"/>
      <c r="D21" s="293"/>
      <c r="E21" s="722" t="s">
        <v>312</v>
      </c>
      <c r="F21" s="307">
        <f>IF(L28=C27,C62,IF(L28=D27,D62,IF(L28=E27,E62,IF(L28=F27,F62,"SOS"))))</f>
        <v>282</v>
      </c>
      <c r="H21" s="888" t="s">
        <v>756</v>
      </c>
      <c r="I21" s="222"/>
      <c r="J21" s="223"/>
      <c r="K21" s="224"/>
      <c r="L21" s="722" t="s">
        <v>531</v>
      </c>
      <c r="M21" s="307">
        <f>M62</f>
        <v>50</v>
      </c>
    </row>
    <row r="22" spans="1:13" ht="15" customHeight="1">
      <c r="A22" s="883" t="s">
        <v>96</v>
      </c>
      <c r="B22" s="219"/>
      <c r="C22" s="220"/>
      <c r="D22" s="284"/>
      <c r="E22" s="665" t="s">
        <v>287</v>
      </c>
      <c r="F22" s="23">
        <v>5</v>
      </c>
      <c r="H22" s="888" t="s">
        <v>757</v>
      </c>
      <c r="I22" s="222"/>
      <c r="J22" s="223"/>
      <c r="K22" s="224"/>
      <c r="L22" s="722" t="s">
        <v>532</v>
      </c>
      <c r="M22" s="307">
        <f>IF(F18=1,M18,M18-1)</f>
        <v>10</v>
      </c>
    </row>
    <row r="23" spans="1:13" ht="15" customHeight="1">
      <c r="A23" s="885" t="s">
        <v>96</v>
      </c>
      <c r="B23" s="230"/>
      <c r="C23" s="231"/>
      <c r="D23" s="338"/>
      <c r="E23" s="665" t="s">
        <v>313</v>
      </c>
      <c r="F23" s="23">
        <v>7</v>
      </c>
      <c r="H23" s="888" t="s">
        <v>758</v>
      </c>
      <c r="I23" s="222"/>
      <c r="J23" s="223"/>
      <c r="K23" s="224"/>
      <c r="L23" s="722" t="s">
        <v>533</v>
      </c>
      <c r="M23" s="307">
        <f>IF(F18=1,M18-1,M18)</f>
        <v>9</v>
      </c>
    </row>
    <row r="24" ht="15" customHeight="1"/>
    <row r="25" spans="7:10" ht="15" customHeight="1">
      <c r="G25" s="718" t="s">
        <v>289</v>
      </c>
      <c r="H25" s="345">
        <f>F22</f>
        <v>5</v>
      </c>
      <c r="I25" s="718" t="s">
        <v>290</v>
      </c>
      <c r="J25" s="346">
        <f>F23</f>
        <v>7</v>
      </c>
    </row>
    <row r="26" spans="3:14" ht="15" customHeight="1" thickBot="1">
      <c r="C26" s="662" t="s">
        <v>341</v>
      </c>
      <c r="D26" s="339"/>
      <c r="E26" s="347"/>
      <c r="F26" s="339"/>
      <c r="G26" s="742" t="s">
        <v>291</v>
      </c>
      <c r="H26" s="348">
        <f>IF(H25=0,0,H28/H29)</f>
        <v>0.9387755102040817</v>
      </c>
      <c r="I26" s="742" t="s">
        <v>291</v>
      </c>
      <c r="J26" s="349">
        <f>IF(J25=0,0,J28/J29)</f>
        <v>1.0909090909090908</v>
      </c>
      <c r="N26" s="640"/>
    </row>
    <row r="27" spans="1:14" ht="15" customHeight="1">
      <c r="A27" s="185"/>
      <c r="B27" s="743" t="s">
        <v>528</v>
      </c>
      <c r="C27" s="350">
        <v>2</v>
      </c>
      <c r="D27" s="350">
        <v>4</v>
      </c>
      <c r="E27" s="350">
        <v>6</v>
      </c>
      <c r="F27" s="351">
        <v>8</v>
      </c>
      <c r="G27" s="663" t="s">
        <v>294</v>
      </c>
      <c r="H27" s="352" t="s">
        <v>292</v>
      </c>
      <c r="I27" s="663" t="s">
        <v>295</v>
      </c>
      <c r="J27" s="352" t="s">
        <v>293</v>
      </c>
      <c r="K27" s="893" t="s">
        <v>760</v>
      </c>
      <c r="L27" s="353"/>
      <c r="M27" s="641" t="s">
        <v>82</v>
      </c>
      <c r="N27" s="640"/>
    </row>
    <row r="28" spans="2:13" ht="15" customHeight="1">
      <c r="B28" s="737" t="s">
        <v>301</v>
      </c>
      <c r="C28" s="176" t="s">
        <v>296</v>
      </c>
      <c r="D28" s="176" t="s">
        <v>297</v>
      </c>
      <c r="E28" s="176" t="s">
        <v>298</v>
      </c>
      <c r="F28" s="176" t="s">
        <v>299</v>
      </c>
      <c r="G28" s="354" t="s">
        <v>83</v>
      </c>
      <c r="H28" s="355">
        <f>2*H62</f>
        <v>92</v>
      </c>
      <c r="I28" s="354" t="s">
        <v>84</v>
      </c>
      <c r="J28" s="356">
        <f>2*J62</f>
        <v>72</v>
      </c>
      <c r="K28" s="741" t="s">
        <v>529</v>
      </c>
      <c r="L28" s="357">
        <f>F16</f>
        <v>6</v>
      </c>
      <c r="M28" s="642" t="s">
        <v>85</v>
      </c>
    </row>
    <row r="29" spans="1:13" ht="15" customHeight="1">
      <c r="A29" s="892" t="s">
        <v>759</v>
      </c>
      <c r="B29" s="358">
        <f>M8</f>
        <v>0.5</v>
      </c>
      <c r="C29" s="359">
        <f>C62/2</f>
        <v>155</v>
      </c>
      <c r="D29" s="360">
        <f>D62/2</f>
        <v>150</v>
      </c>
      <c r="E29" s="361">
        <f>E62/2</f>
        <v>141</v>
      </c>
      <c r="F29" s="362">
        <f>F62/2</f>
        <v>138</v>
      </c>
      <c r="G29" s="363" t="s">
        <v>86</v>
      </c>
      <c r="H29" s="364">
        <f>2*H63</f>
        <v>98</v>
      </c>
      <c r="I29" s="363" t="s">
        <v>87</v>
      </c>
      <c r="J29" s="365">
        <f>2*J63</f>
        <v>66</v>
      </c>
      <c r="K29" s="736" t="s">
        <v>300</v>
      </c>
      <c r="L29" s="366">
        <f>L62</f>
        <v>2.610964365890585</v>
      </c>
      <c r="M29" s="643" t="s">
        <v>88</v>
      </c>
    </row>
    <row r="30" spans="1:13" ht="15" customHeight="1">
      <c r="A30" s="367" t="s">
        <v>99</v>
      </c>
      <c r="B30" s="666" t="s">
        <v>323</v>
      </c>
      <c r="C30" s="667" t="s">
        <v>324</v>
      </c>
      <c r="D30" s="667" t="s">
        <v>325</v>
      </c>
      <c r="E30" s="667" t="s">
        <v>326</v>
      </c>
      <c r="F30" s="667" t="s">
        <v>327</v>
      </c>
      <c r="G30" s="368" t="s">
        <v>78</v>
      </c>
      <c r="H30" s="668" t="s">
        <v>328</v>
      </c>
      <c r="I30" s="368" t="s">
        <v>78</v>
      </c>
      <c r="J30" s="668" t="s">
        <v>329</v>
      </c>
      <c r="K30" s="664" t="s">
        <v>330</v>
      </c>
      <c r="L30" s="669" t="s">
        <v>331</v>
      </c>
      <c r="M30" s="670" t="s">
        <v>332</v>
      </c>
    </row>
    <row r="31" spans="1:13" ht="15" customHeight="1">
      <c r="A31" s="369">
        <v>1</v>
      </c>
      <c r="B31" s="370">
        <f aca="true" t="shared" si="0" ref="B31:B60">IF(M$10/2-M$15&lt;=$F$12+$F$11*($A31-1),0,((M$10/2-M$15)^2-($F$12+$F$11*($A31-1))^2)^0.5)</f>
        <v>0.2299016093897561</v>
      </c>
      <c r="C31" s="371">
        <f>IF(B31=0,0,2*INT((B31-$F$10-IF($F$18=1,0,$F$8))/(2*$F$8)+1)+IF($F$18=1,0,1))</f>
        <v>18</v>
      </c>
      <c r="D31" s="372">
        <f>IF(B31=0,0,2*INT((B31-$F$10-IF($F$18=1,0,$F$8))/(2*$F$8)+1))</f>
        <v>18</v>
      </c>
      <c r="E31" s="373">
        <f>IF(F$22=0,0,IF(B31=0,0,2*INT((B31-2*($F$9-$F$8)-$F$10-IF($F$18=1,0,$F$8))/(2*$F$8)+1)+IF($F$18=1,0,1)-IF(C31&gt;F$22,IF($F$18=1,IF(MOD(F$22+1,2)=0,2,0),IF(MOD(F$22+1,2)=0,0,2)),0)))</f>
        <v>16</v>
      </c>
      <c r="F31" s="374">
        <f>IF(F$23=0,0,IF(B31=0,0,2*INT((B31-2*($F$9-$F$8)-$F$10-IF($F$18=1,0,$F$8))/(2*$F$8)+1)-IF(D31&gt;F$23,IF($F$18=1,IF(MOD(F$23+1,2)=0,2,0),IF(MOD(F$23+1,2)=0,0,2)),0)))</f>
        <v>16</v>
      </c>
      <c r="G31" s="375">
        <v>1</v>
      </c>
      <c r="H31" s="376">
        <f>IF(E31&gt;H$25,IF($F$18=1,IF(MOD(H$25,2)=0,H$25,(H$25-1)),IF(MOD(H$25,2)=0,(H$25-1),H$25)),E31)</f>
        <v>4</v>
      </c>
      <c r="I31" s="375">
        <v>1</v>
      </c>
      <c r="J31" s="377">
        <f>IF(F31&gt;J$25,IF($F$18=1,IF(MOD(J$25,2)=0,J$25/2,(J$25-1)/2),IF(MOD(J$25,2)=0,(J$25-2)/2,(J$25-1)/2)),F31/2)</f>
        <v>3</v>
      </c>
      <c r="K31" s="378">
        <f>F12</f>
        <v>0.0225</v>
      </c>
      <c r="L31" s="379">
        <f aca="true" t="shared" si="1" ref="L31:L60">K31*IF($L$28=$C$27,C31,IF($L$28=$D$27,D31,IF($L$28=$E$27,E31,IF($L$28=$F$27,F31,"SOS"))))</f>
        <v>0.36</v>
      </c>
      <c r="M31" s="644">
        <f>IF(D31&gt;=M$22,D31-M$22,0)</f>
        <v>8</v>
      </c>
    </row>
    <row r="32" spans="1:13" ht="15" customHeight="1">
      <c r="A32" s="380">
        <v>2</v>
      </c>
      <c r="B32" s="381">
        <f t="shared" si="0"/>
        <v>0.2271497303542313</v>
      </c>
      <c r="C32" s="382">
        <f>IF(B32=0,0,2*INT((B32-$F$10-IF($F$18=1,$F$8,0))/(2*$F$8)+1)+IF($F$18=1,1,0))</f>
        <v>17</v>
      </c>
      <c r="D32" s="383">
        <f>IF(B32=0,0,2*INT((B32-$F$10-IF($F$18=1,$F$8,0))/(2*$F$8)+1))</f>
        <v>16</v>
      </c>
      <c r="E32" s="384">
        <f>IF(F$22=0,0,IF(B32=0,0,2*INT((B32-2*($F$9-$F$8)-$F$10-IF($F$18=1,$F$8,0))/(2*$F$8)+1)+IF($F$18=1,1,0)-IF(C32&gt;F$22,IF($F$18=1,IF(MOD(F$22+1,2)=0,0,2),IF(MOD(F$22+1,2)=0,2,0)),0)))</f>
        <v>17</v>
      </c>
      <c r="F32" s="385">
        <f>IF(F$23=0,0,IF(B32=0,0,2*INT((B32-2*($F$9-$F$8)-$F$10-IF($F$18=1,$F$8,0))/(2*$F$8)+1)-IF(D32&gt;F$23,IF($F$18=1,IF(MOD(F$23+1,2)=0,0,2),IF(MOD(F$23+1,2)=0,2,0)),0)))</f>
        <v>16</v>
      </c>
      <c r="G32" s="375">
        <v>2</v>
      </c>
      <c r="H32" s="376">
        <f>IF(E32&gt;H$25,IF($F$18=1,IF(MOD(H$25,2)=0,(H$25-1),H$25),IF(MOD(H$25,2)=0,H$25,(H$25-1))),E32)</f>
        <v>5</v>
      </c>
      <c r="I32" s="375">
        <v>2</v>
      </c>
      <c r="J32" s="377">
        <f>IF(F32&gt;J$25,IF($F$18=1,IF(MOD(J$25,2)=0,(J$25-2)/2,(J$25-1)/2),IF(MOD(J$25,2)=0,J$25/2,(J$25-1)/2)),F32/2)</f>
        <v>3</v>
      </c>
      <c r="K32" s="378">
        <f aca="true" t="shared" si="2" ref="K32:K60">K31+$F$11</f>
        <v>0.041999999999999996</v>
      </c>
      <c r="L32" s="379">
        <f t="shared" si="1"/>
        <v>0.714</v>
      </c>
      <c r="M32" s="644">
        <f>IF(D32&gt;=M$23,D32-M$23,0)</f>
        <v>7</v>
      </c>
    </row>
    <row r="33" spans="1:13" ht="15" customHeight="1">
      <c r="A33" s="380">
        <v>3</v>
      </c>
      <c r="B33" s="381">
        <f t="shared" si="0"/>
        <v>0.22266286174393787</v>
      </c>
      <c r="C33" s="382">
        <f>IF(B33=0,0,2*INT((B33-$F$10-IF($F$18=1,0,$F$8))/(2*$F$8)+1)+IF($F$18=1,0,1))</f>
        <v>18</v>
      </c>
      <c r="D33" s="383">
        <f>IF(B33=0,0,2*INT((B33-$F$10-IF($F$18=1,0,$F$8))/(2*$F$8)+1))</f>
        <v>18</v>
      </c>
      <c r="E33" s="384">
        <f>IF(F$22=0,0,IF(B33=0,0,2*INT((B33-2*($F$9-$F$8)-$F$10-IF($F$18=1,0,$F$8))/(2*$F$8)+1)+IF($F$18=1,0,1)-IF(C33&gt;F$22,IF($F$18=1,IF(MOD(F$22+1,2)=0,2,0),IF(MOD(F$22+1,2)=0,0,2)),0)))</f>
        <v>14</v>
      </c>
      <c r="F33" s="385">
        <f>IF(F$23=0,0,IF(B33=0,0,2*INT((B33-2*($F$9-$F$8)-$F$10-IF($F$18=1,0,$F$8))/(2*$F$8)+1)-IF(D33&gt;F$23,IF($F$18=1,IF(MOD(F$23+1,2)=0,2,0),IF(MOD(F$23+1,2)=0,0,2)),0)))</f>
        <v>14</v>
      </c>
      <c r="G33" s="375">
        <v>3</v>
      </c>
      <c r="H33" s="376">
        <f>IF(E33&gt;H$25,IF($F$18=1,IF(MOD(H$25,2)=0,H$25,(H$25-1)),IF(MOD(H$25,2)=0,(H$25-1),H$25)),E33)</f>
        <v>4</v>
      </c>
      <c r="I33" s="375">
        <v>3</v>
      </c>
      <c r="J33" s="377">
        <f>IF(F33&gt;J$25,IF($F$18=1,IF(MOD(J$25,2)=0,J$25/2,(J$25-1)/2),IF(MOD(J$25,2)=0,(J$25-2)/2,(J$25-1)/2)),F33/2)</f>
        <v>3</v>
      </c>
      <c r="K33" s="378">
        <f t="shared" si="2"/>
        <v>0.0615</v>
      </c>
      <c r="L33" s="379">
        <f t="shared" si="1"/>
        <v>0.861</v>
      </c>
      <c r="M33" s="644">
        <f>IF(D33&gt;=M$22,D33-M$22,0)</f>
        <v>8</v>
      </c>
    </row>
    <row r="34" spans="1:13" ht="15" customHeight="1">
      <c r="A34" s="380">
        <v>4</v>
      </c>
      <c r="B34" s="381">
        <f t="shared" si="0"/>
        <v>0.21633307652783934</v>
      </c>
      <c r="C34" s="382">
        <f>IF(B34=0,0,2*INT((B34-$F$10-IF($F$18=1,$F$8,0))/(2*$F$8)+1)+IF($F$18=1,1,0))</f>
        <v>17</v>
      </c>
      <c r="D34" s="383">
        <f>IF(B34=0,0,2*INT((B34-$F$10-IF($F$18=1,$F$8,0))/(2*$F$8)+1))</f>
        <v>16</v>
      </c>
      <c r="E34" s="384">
        <f>IF(F$22=0,0,IF(B34=0,0,2*INT((B34-2*($F$9-$F$8)-$F$10-IF($F$18=1,$F$8,0))/(2*$F$8)+1)+IF($F$18=1,1,0)-IF(C34&gt;F$22,IF($F$18=1,IF(MOD(F$22+1,2)=0,0,2),IF(MOD(F$22+1,2)=0,2,0)),0)))</f>
        <v>17</v>
      </c>
      <c r="F34" s="385">
        <f>IF(F$23=0,0,IF(B34=0,0,2*INT((B34-2*($F$9-$F$8)-$F$10-IF($F$18=1,$F$8,0))/(2*$F$8)+1)-IF(D34&gt;F$23,IF($F$18=1,IF(MOD(F$23+1,2)=0,0,2),IF(MOD(F$23+1,2)=0,2,0)),0)))</f>
        <v>16</v>
      </c>
      <c r="G34" s="375">
        <v>4</v>
      </c>
      <c r="H34" s="376">
        <f>IF(E34&gt;H$25,IF($F$18=1,IF(MOD(H$25,2)=0,(H$25-1),H$25),IF(MOD(H$25,2)=0,H$25,(H$25-1))),E34)</f>
        <v>5</v>
      </c>
      <c r="I34" s="375">
        <v>4</v>
      </c>
      <c r="J34" s="377">
        <f>IF(F34&gt;J$25,IF($F$18=1,IF(MOD(J$25,2)=0,(J$25-2)/2,(J$25-1)/2),IF(MOD(J$25,2)=0,J$25/2,(J$25-1)/2)),F34/2)</f>
        <v>3</v>
      </c>
      <c r="K34" s="378">
        <f t="shared" si="2"/>
        <v>0.081</v>
      </c>
      <c r="L34" s="379">
        <f t="shared" si="1"/>
        <v>1.377</v>
      </c>
      <c r="M34" s="644">
        <f>IF(D34&gt;=M$23,D34-M$23,0)</f>
        <v>7</v>
      </c>
    </row>
    <row r="35" spans="1:13" ht="15" customHeight="1">
      <c r="A35" s="380">
        <v>5</v>
      </c>
      <c r="B35" s="381">
        <f t="shared" si="0"/>
        <v>0.20799218735327532</v>
      </c>
      <c r="C35" s="382">
        <f>IF(B35=0,0,2*INT((B35-$F$10-IF($F$18=1,0,$F$8))/(2*$F$8)+1)+IF($F$18=1,0,1))</f>
        <v>16</v>
      </c>
      <c r="D35" s="383">
        <f>IF(B35=0,0,2*INT((B35-$F$10-IF($F$18=1,0,$F$8))/(2*$F$8)+1))</f>
        <v>16</v>
      </c>
      <c r="E35" s="384">
        <f>IF(F$22=0,0,IF(B35=0,0,2*INT((B35-2*($F$9-$F$8)-$F$10-IF($F$18=1,0,$F$8))/(2*$F$8)+1)+IF($F$18=1,0,1)-IF(C35&gt;F$22,IF($F$18=1,IF(MOD(F$22+1,2)=0,2,0),IF(MOD(F$22+1,2)=0,0,2)),0)))</f>
        <v>14</v>
      </c>
      <c r="F35" s="385">
        <f>IF(F$23=0,0,IF(B35=0,0,2*INT((B35-2*($F$9-$F$8)-$F$10-IF($F$18=1,0,$F$8))/(2*$F$8)+1)-IF(D35&gt;F$23,IF($F$18=1,IF(MOD(F$23+1,2)=0,2,0),IF(MOD(F$23+1,2)=0,0,2)),0)))</f>
        <v>14</v>
      </c>
      <c r="G35" s="375">
        <v>5</v>
      </c>
      <c r="H35" s="376">
        <f>IF(E35&gt;H$25,IF($F$18=1,IF(MOD(H$25,2)=0,H$25,(H$25-1)),IF(MOD(H$25,2)=0,(H$25-1),H$25)),E35)</f>
        <v>4</v>
      </c>
      <c r="I35" s="375">
        <v>5</v>
      </c>
      <c r="J35" s="377">
        <f>IF(F35&gt;J$25,IF($F$18=1,IF(MOD(J$25,2)=0,J$25/2,(J$25-1)/2),IF(MOD(J$25,2)=0,(J$25-2)/2,(J$25-1)/2)),F35/2)</f>
        <v>3</v>
      </c>
      <c r="K35" s="378">
        <f t="shared" si="2"/>
        <v>0.1005</v>
      </c>
      <c r="L35" s="379">
        <f t="shared" si="1"/>
        <v>1.407</v>
      </c>
      <c r="M35" s="644">
        <f>IF(D35&gt;=M$22,D35-M$22,0)</f>
        <v>6</v>
      </c>
    </row>
    <row r="36" spans="1:13" ht="15" customHeight="1">
      <c r="A36" s="380">
        <v>6</v>
      </c>
      <c r="B36" s="381">
        <f t="shared" si="0"/>
        <v>0.19738540979515176</v>
      </c>
      <c r="C36" s="382">
        <f>IF(B36=0,0,2*INT((B36-$F$10-IF($F$18=1,$F$8,0))/(2*$F$8)+1)+IF($F$18=1,1,0))</f>
        <v>15</v>
      </c>
      <c r="D36" s="383">
        <f>IF(B36=0,0,2*INT((B36-$F$10-IF($F$18=1,$F$8,0))/(2*$F$8)+1))</f>
        <v>14</v>
      </c>
      <c r="E36" s="384">
        <f>IF(F$22=0,0,IF(B36=0,0,2*INT((B36-2*($F$9-$F$8)-$F$10-IF($F$18=1,$F$8,0))/(2*$F$8)+1)+IF($F$18=1,1,0)-IF(C36&gt;F$22,IF($F$18=1,IF(MOD(F$22+1,2)=0,0,2),IF(MOD(F$22+1,2)=0,2,0)),0)))</f>
        <v>15</v>
      </c>
      <c r="F36" s="385">
        <f>IF(F$23=0,0,IF(B36=0,0,2*INT((B36-2*($F$9-$F$8)-$F$10-IF($F$18=1,$F$8,0))/(2*$F$8)+1)-IF(D36&gt;F$23,IF($F$18=1,IF(MOD(F$23+1,2)=0,0,2),IF(MOD(F$23+1,2)=0,2,0)),0)))</f>
        <v>14</v>
      </c>
      <c r="G36" s="375">
        <v>6</v>
      </c>
      <c r="H36" s="376">
        <f>IF(E36&gt;H$25,IF($F$18=1,IF(MOD(H$25,2)=0,(H$25-1),H$25),IF(MOD(H$25,2)=0,H$25,(H$25-1))),E36)</f>
        <v>5</v>
      </c>
      <c r="I36" s="375">
        <v>6</v>
      </c>
      <c r="J36" s="377">
        <f>IF(F36&gt;J$25,IF($F$18=1,IF(MOD(J$25,2)=0,(J$25-2)/2,(J$25-1)/2),IF(MOD(J$25,2)=0,J$25/2,(J$25-1)/2)),F36/2)</f>
        <v>3</v>
      </c>
      <c r="K36" s="378">
        <f t="shared" si="2"/>
        <v>0.12000000000000001</v>
      </c>
      <c r="L36" s="379">
        <f t="shared" si="1"/>
        <v>1.8</v>
      </c>
      <c r="M36" s="644">
        <f>IF(D36&gt;=M$23,D36-M$23,0)</f>
        <v>5</v>
      </c>
    </row>
    <row r="37" spans="1:13" ht="15" customHeight="1">
      <c r="A37" s="380">
        <v>7</v>
      </c>
      <c r="B37" s="381">
        <f t="shared" si="0"/>
        <v>0.18412156310437947</v>
      </c>
      <c r="C37" s="382">
        <f>IF(B37=0,0,2*INT((B37-$F$10-IF($F$18=1,0,$F$8))/(2*$F$8)+1)+IF($F$18=1,0,1))</f>
        <v>14</v>
      </c>
      <c r="D37" s="383">
        <f>IF(B37=0,0,2*INT((B37-$F$10-IF($F$18=1,0,$F$8))/(2*$F$8)+1))</f>
        <v>14</v>
      </c>
      <c r="E37" s="384">
        <f>IF(F$22=0,0,IF(B37=0,0,2*INT((B37-2*($F$9-$F$8)-$F$10-IF($F$18=1,0,$F$8))/(2*$F$8)+1)+IF($F$18=1,0,1)-IF(C37&gt;F$22,IF($F$18=1,IF(MOD(F$22+1,2)=0,2,0),IF(MOD(F$22+1,2)=0,0,2)),0)))</f>
        <v>12</v>
      </c>
      <c r="F37" s="385">
        <f>IF(F$23=0,0,IF(B37=0,0,2*INT((B37-2*($F$9-$F$8)-$F$10-IF($F$18=1,0,$F$8))/(2*$F$8)+1)-IF(D37&gt;F$23,IF($F$18=1,IF(MOD(F$23+1,2)=0,2,0),IF(MOD(F$23+1,2)=0,0,2)),0)))</f>
        <v>12</v>
      </c>
      <c r="G37" s="375">
        <v>7</v>
      </c>
      <c r="H37" s="376">
        <f>IF(E37&gt;H$25,IF($F$18=1,IF(MOD(H$25,2)=0,H$25,(H$25-1)),IF(MOD(H$25,2)=0,(H$25-1),H$25)),E37)</f>
        <v>4</v>
      </c>
      <c r="I37" s="375">
        <v>7</v>
      </c>
      <c r="J37" s="377">
        <f>IF(F37&gt;J$25,IF($F$18=1,IF(MOD(J$25,2)=0,J$25/2,(J$25-1)/2),IF(MOD(J$25,2)=0,(J$25-2)/2,(J$25-1)/2)),F37/2)</f>
        <v>3</v>
      </c>
      <c r="K37" s="378">
        <f t="shared" si="2"/>
        <v>0.1395</v>
      </c>
      <c r="L37" s="379">
        <f t="shared" si="1"/>
        <v>1.6740000000000002</v>
      </c>
      <c r="M37" s="644">
        <f>IF(D37&gt;=M$22,D37-M$22,0)</f>
        <v>4</v>
      </c>
    </row>
    <row r="38" spans="1:13" ht="15" customHeight="1">
      <c r="A38" s="380">
        <v>8</v>
      </c>
      <c r="B38" s="381">
        <f t="shared" si="0"/>
        <v>0.16757088052522726</v>
      </c>
      <c r="C38" s="382">
        <f>IF(B38=0,0,2*INT((B38-$F$10-IF($F$18=1,$F$8,0))/(2*$F$8)+1)+IF($F$18=1,1,0))</f>
        <v>13</v>
      </c>
      <c r="D38" s="383">
        <f>IF(B38=0,0,2*INT((B38-$F$10-IF($F$18=1,$F$8,0))/(2*$F$8)+1))</f>
        <v>12</v>
      </c>
      <c r="E38" s="384">
        <f>IF(F$22=0,0,IF(B38=0,0,2*INT((B38-2*($F$9-$F$8)-$F$10-IF($F$18=1,$F$8,0))/(2*$F$8)+1)+IF($F$18=1,1,0)-IF(C38&gt;F$22,IF($F$18=1,IF(MOD(F$22+1,2)=0,0,2),IF(MOD(F$22+1,2)=0,2,0)),0)))</f>
        <v>13</v>
      </c>
      <c r="F38" s="385">
        <f>IF(F$23=0,0,IF(B38=0,0,2*INT((B38-2*($F$9-$F$8)-$F$10-IF($F$18=1,$F$8,0))/(2*$F$8)+1)-IF(D38&gt;F$23,IF($F$18=1,IF(MOD(F$23+1,2)=0,0,2),IF(MOD(F$23+1,2)=0,2,0)),0)))</f>
        <v>12</v>
      </c>
      <c r="G38" s="375">
        <v>8</v>
      </c>
      <c r="H38" s="376">
        <f>IF(E38&gt;H$25,IF($F$18=1,IF(MOD(H$25,2)=0,(H$25-1),H$25),IF(MOD(H$25,2)=0,H$25,(H$25-1))),E38)</f>
        <v>5</v>
      </c>
      <c r="I38" s="375">
        <v>8</v>
      </c>
      <c r="J38" s="377">
        <f>IF(F38&gt;J$25,IF($F$18=1,IF(MOD(J$25,2)=0,(J$25-2)/2,(J$25-1)/2),IF(MOD(J$25,2)=0,J$25/2,(J$25-1)/2)),F38/2)</f>
        <v>3</v>
      </c>
      <c r="K38" s="378">
        <f t="shared" si="2"/>
        <v>0.159</v>
      </c>
      <c r="L38" s="379">
        <f t="shared" si="1"/>
        <v>2.067</v>
      </c>
      <c r="M38" s="644">
        <f>IF(D38&gt;=M$23,D38-M$23,0)</f>
        <v>3</v>
      </c>
    </row>
    <row r="39" spans="1:13" ht="15" customHeight="1">
      <c r="A39" s="380">
        <v>9</v>
      </c>
      <c r="B39" s="381">
        <f t="shared" si="0"/>
        <v>0.14662452045957386</v>
      </c>
      <c r="C39" s="382">
        <f>IF(B39=0,0,2*INT((B39-$F$10-IF($F$18=1,0,$F$8))/(2*$F$8)+1)+IF($F$18=1,0,1))</f>
        <v>12</v>
      </c>
      <c r="D39" s="383">
        <f>IF(B39=0,0,2*INT((B39-$F$10-IF($F$18=1,0,$F$8))/(2*$F$8)+1))</f>
        <v>12</v>
      </c>
      <c r="E39" s="384">
        <f>IF(F$22=0,0,IF(B39=0,0,2*INT((B39-2*($F$9-$F$8)-$F$10-IF($F$18=1,0,$F$8))/(2*$F$8)+1)+IF($F$18=1,0,1)-IF(C39&gt;F$22,IF($F$18=1,IF(MOD(F$22+1,2)=0,2,0),IF(MOD(F$22+1,2)=0,0,2)),0)))</f>
        <v>10</v>
      </c>
      <c r="F39" s="385">
        <f>IF(F$23=0,0,IF(B39=0,0,2*INT((B39-2*($F$9-$F$8)-$F$10-IF($F$18=1,0,$F$8))/(2*$F$8)+1)-IF(D39&gt;F$23,IF($F$18=1,IF(MOD(F$23+1,2)=0,2,0),IF(MOD(F$23+1,2)=0,0,2)),0)))</f>
        <v>10</v>
      </c>
      <c r="G39" s="375">
        <v>9</v>
      </c>
      <c r="H39" s="376">
        <f>IF(E39&gt;H$25,IF($F$18=1,IF(MOD(H$25,2)=0,H$25,(H$25-1)),IF(MOD(H$25,2)=0,(H$25-1),H$25)),E39)</f>
        <v>4</v>
      </c>
      <c r="I39" s="375">
        <v>9</v>
      </c>
      <c r="J39" s="377">
        <f>IF(F39&gt;J$25,IF($F$18=1,IF(MOD(J$25,2)=0,J$25/2,(J$25-1)/2),IF(MOD(J$25,2)=0,(J$25-2)/2,(J$25-1)/2)),F39/2)</f>
        <v>3</v>
      </c>
      <c r="K39" s="378">
        <f t="shared" si="2"/>
        <v>0.1785</v>
      </c>
      <c r="L39" s="379">
        <f t="shared" si="1"/>
        <v>1.785</v>
      </c>
      <c r="M39" s="644">
        <f>IF(D39&gt;=M$22,D39-M$22,0)</f>
        <v>2</v>
      </c>
    </row>
    <row r="40" spans="1:13" ht="15" customHeight="1">
      <c r="A40" s="386">
        <v>10</v>
      </c>
      <c r="B40" s="387">
        <f t="shared" si="0"/>
        <v>0.11898319209031163</v>
      </c>
      <c r="C40" s="388">
        <f>IF(B40=0,0,2*INT((B40-$F$10-IF($F$18=1,$F$8,0))/(2*$F$8)+1)+IF($F$18=1,1,0))</f>
        <v>9</v>
      </c>
      <c r="D40" s="389">
        <f>IF(B40=0,0,2*INT((B40-$F$10-IF($F$18=1,$F$8,0))/(2*$F$8)+1))</f>
        <v>8</v>
      </c>
      <c r="E40" s="390">
        <f>IF(F$22=0,0,IF(B40=0,0,2*INT((B40-2*($F$9-$F$8)-$F$10-IF($F$18=1,$F$8,0))/(2*$F$8)+1)+IF($F$18=1,1,0)-IF(C40&gt;F$22,IF($F$18=1,IF(MOD(F$22+1,2)=0,0,2),IF(MOD(F$22+1,2)=0,2,0)),0)))</f>
        <v>9</v>
      </c>
      <c r="F40" s="391">
        <f>IF(F$23=0,0,IF(B40=0,0,2*INT((B40-2*($F$9-$F$8)-$F$10-IF($F$18=1,$F$8,0))/(2*$F$8)+1)-IF(D40&gt;F$23,IF($F$18=1,IF(MOD(F$23+1,2)=0,0,2),IF(MOD(F$23+1,2)=0,2,0)),0)))</f>
        <v>8</v>
      </c>
      <c r="G40" s="363">
        <v>10</v>
      </c>
      <c r="H40" s="364">
        <f>IF(E40&gt;H$25,IF($F$18=1,IF(MOD(H$25,2)=0,(H$25-1),H$25),IF(MOD(H$25,2)=0,H$25,(H$25-1))),E40)</f>
        <v>5</v>
      </c>
      <c r="I40" s="363">
        <v>10</v>
      </c>
      <c r="J40" s="365">
        <f>IF(F40&gt;J$25,IF($F$18=1,IF(MOD(J$25,2)=0,(J$25-2)/2,(J$25-1)/2),IF(MOD(J$25,2)=0,J$25/2,(J$25-1)/2)),F40/2)</f>
        <v>3</v>
      </c>
      <c r="K40" s="392">
        <f t="shared" si="2"/>
        <v>0.19799999999999998</v>
      </c>
      <c r="L40" s="393">
        <f t="shared" si="1"/>
        <v>1.7819999999999998</v>
      </c>
      <c r="M40" s="645">
        <f>IF(D40&gt;=M$23,D40-M$23,0)</f>
        <v>0</v>
      </c>
    </row>
    <row r="41" spans="1:13" ht="15" customHeight="1">
      <c r="A41" s="369">
        <v>11</v>
      </c>
      <c r="B41" s="370">
        <f t="shared" si="0"/>
        <v>0.07781227409605757</v>
      </c>
      <c r="C41" s="371">
        <f>IF(B41=0,0,2*INT((B41-$F$10-IF($F$18=1,0,$F$8))/(2*$F$8)+1)+IF($F$18=1,0,1))</f>
        <v>6</v>
      </c>
      <c r="D41" s="372">
        <f>IF(B41=0,0,2*INT((B41-$F$10-IF($F$18=1,0,$F$8))/(2*$F$8)+1))</f>
        <v>6</v>
      </c>
      <c r="E41" s="373">
        <f>IF(F$22=0,0,IF(B41=0,0,2*INT((B41-2*($F$9-$F$8)-$F$10-IF($F$18=1,0,$F$8))/(2*$F$8)+1)+IF($F$18=1,0,1)-IF(C41&gt;F$22,IF($F$18=1,IF(MOD(F$22+1,2)=0,2,0),IF(MOD(F$22+1,2)=0,0,2)),0)))</f>
        <v>4</v>
      </c>
      <c r="F41" s="374">
        <f>IF(F$23=0,0,IF(B41=0,0,2*INT((B41-2*($F$9-$F$8)-$F$10-IF($F$18=1,0,$F$8))/(2*$F$8)+1)-IF(D41&gt;F$23,IF($F$18=1,IF(MOD(F$23+1,2)=0,2,0),IF(MOD(F$23+1,2)=0,0,2)),0)))</f>
        <v>6</v>
      </c>
      <c r="G41" s="375">
        <v>11</v>
      </c>
      <c r="H41" s="376">
        <f>IF(E41&gt;H$25,IF($F$18=1,IF(MOD(H$25,2)=0,H$25,(H$25-1)),IF(MOD(H$25,2)=0,(H$25-1),H$25)),E41)</f>
        <v>4</v>
      </c>
      <c r="I41" s="375">
        <v>11</v>
      </c>
      <c r="J41" s="377">
        <f>IF(F41&gt;J$25,IF($F$18=1,IF(MOD(J$25,2)=0,J$25/2,(J$25-1)/2),IF(MOD(J$25,2)=0,(J$25-2)/2,(J$25-1)/2)),F41/2)</f>
        <v>3</v>
      </c>
      <c r="K41" s="378">
        <f t="shared" si="2"/>
        <v>0.21749999999999997</v>
      </c>
      <c r="L41" s="379">
        <f t="shared" si="1"/>
        <v>0.8699999999999999</v>
      </c>
      <c r="M41" s="644">
        <f>IF(D41&gt;=M$22,D41-M$22,0)</f>
        <v>0</v>
      </c>
    </row>
    <row r="42" spans="1:13" ht="15" customHeight="1">
      <c r="A42" s="380">
        <v>12</v>
      </c>
      <c r="B42" s="381">
        <f t="shared" si="0"/>
        <v>0</v>
      </c>
      <c r="C42" s="382">
        <f>IF(B42=0,0,2*INT((B42-$F$10-IF($F$18=1,$F$8,0))/(2*$F$8)+1)+IF($F$18=1,1,0))</f>
        <v>0</v>
      </c>
      <c r="D42" s="383">
        <f>IF(B42=0,0,2*INT((B42-$F$10-IF($F$18=1,$F$8,0))/(2*$F$8)+1))</f>
        <v>0</v>
      </c>
      <c r="E42" s="384">
        <f>IF(F$22=0,0,IF(B42=0,0,2*INT((B42-2*($F$9-$F$8)-$F$10-IF($F$18=1,$F$8,0))/(2*$F$8)+1)+IF($F$18=1,1,0)-IF(C42&gt;F$22,IF($F$18=1,IF(MOD(F$22+1,2)=0,0,2),IF(MOD(F$22+1,2)=0,2,0)),0)))</f>
        <v>0</v>
      </c>
      <c r="F42" s="385">
        <f>IF(F$23=0,0,IF(B42=0,0,2*INT((B42-2*($F$9-$F$8)-$F$10-IF($F$18=1,$F$8,0))/(2*$F$8)+1)-IF(D42&gt;F$23,IF($F$18=1,IF(MOD(F$23+1,2)=0,0,2),IF(MOD(F$23+1,2)=0,2,0)),0)))</f>
        <v>0</v>
      </c>
      <c r="G42" s="375">
        <v>12</v>
      </c>
      <c r="H42" s="376">
        <f>IF(E42&gt;H$25,IF($F$18=1,IF(MOD(H$25,2)=0,(H$25-1),H$25),IF(MOD(H$25,2)=0,H$25,(H$25-1))),E42)</f>
        <v>0</v>
      </c>
      <c r="I42" s="375">
        <v>12</v>
      </c>
      <c r="J42" s="377">
        <f>IF(F42&gt;J$25,IF($F$18=1,IF(MOD(J$25,2)=0,(J$25-2)/2,(J$25-1)/2),IF(MOD(J$25,2)=0,J$25/2,(J$25-1)/2)),F42/2)</f>
        <v>0</v>
      </c>
      <c r="K42" s="378">
        <f t="shared" si="2"/>
        <v>0.23699999999999996</v>
      </c>
      <c r="L42" s="379">
        <f t="shared" si="1"/>
        <v>0</v>
      </c>
      <c r="M42" s="644">
        <f>IF(D42&gt;=M$23,D42-M$23,0)</f>
        <v>0</v>
      </c>
    </row>
    <row r="43" spans="1:13" ht="15" customHeight="1">
      <c r="A43" s="380">
        <v>13</v>
      </c>
      <c r="B43" s="381">
        <f t="shared" si="0"/>
        <v>0</v>
      </c>
      <c r="C43" s="382">
        <f>IF(B43=0,0,2*INT((B43-$F$10-IF($F$18=1,0,$F$8))/(2*$F$8)+1)+IF($F$18=1,0,1))</f>
        <v>0</v>
      </c>
      <c r="D43" s="383">
        <f>IF(B43=0,0,2*INT((B43-$F$10-IF($F$18=1,0,$F$8))/(2*$F$8)+1))</f>
        <v>0</v>
      </c>
      <c r="E43" s="384">
        <f>IF(F$22=0,0,IF(B43=0,0,2*INT((B43-2*($F$9-$F$8)-$F$10-IF($F$18=1,0,$F$8))/(2*$F$8)+1)+IF($F$18=1,0,1)-IF(C43&gt;F$22,IF($F$18=1,IF(MOD(F$22+1,2)=0,2,0),IF(MOD(F$22+1,2)=0,0,2)),0)))</f>
        <v>0</v>
      </c>
      <c r="F43" s="385">
        <f>IF(F$23=0,0,IF(B43=0,0,2*INT((B43-2*($F$9-$F$8)-$F$10-IF($F$18=1,0,$F$8))/(2*$F$8)+1)-IF(D43&gt;F$23,IF($F$18=1,IF(MOD(F$23+1,2)=0,2,0),IF(MOD(F$23+1,2)=0,0,2)),0)))</f>
        <v>0</v>
      </c>
      <c r="G43" s="375">
        <v>13</v>
      </c>
      <c r="H43" s="376">
        <f>IF(E43&gt;H$25,IF($F$18=1,IF(MOD(H$25,2)=0,H$25,(H$25-1)),IF(MOD(H$25,2)=0,(H$25-1),H$25)),E43)</f>
        <v>0</v>
      </c>
      <c r="I43" s="375">
        <v>13</v>
      </c>
      <c r="J43" s="377">
        <f>IF(F43&gt;J$25,IF($F$18=1,IF(MOD(J$25,2)=0,J$25/2,(J$25-1)/2),IF(MOD(J$25,2)=0,(J$25-2)/2,(J$25-1)/2)),F43/2)</f>
        <v>0</v>
      </c>
      <c r="K43" s="378">
        <f t="shared" si="2"/>
        <v>0.25649999999999995</v>
      </c>
      <c r="L43" s="379">
        <f t="shared" si="1"/>
        <v>0</v>
      </c>
      <c r="M43" s="644">
        <f>IF(D43&gt;=M$22,D43-M$22,0)</f>
        <v>0</v>
      </c>
    </row>
    <row r="44" spans="1:13" ht="15" customHeight="1">
      <c r="A44" s="380">
        <v>14</v>
      </c>
      <c r="B44" s="381">
        <f t="shared" si="0"/>
        <v>0</v>
      </c>
      <c r="C44" s="382">
        <f>IF(B44=0,0,2*INT((B44-$F$10-IF($F$18=1,$F$8,0))/(2*$F$8)+1)+IF($F$18=1,1,0))</f>
        <v>0</v>
      </c>
      <c r="D44" s="383">
        <f>IF(B44=0,0,2*INT((B44-$F$10-IF($F$18=1,$F$8,0))/(2*$F$8)+1))</f>
        <v>0</v>
      </c>
      <c r="E44" s="384">
        <f>IF(F$22=0,0,IF(B44=0,0,2*INT((B44-2*($F$9-$F$8)-$F$10-IF($F$18=1,$F$8,0))/(2*$F$8)+1)+IF($F$18=1,1,0)-IF(C44&gt;F$22,IF($F$18=1,IF(MOD(F$22+1,2)=0,0,2),IF(MOD(F$22+1,2)=0,2,0)),0)))</f>
        <v>0</v>
      </c>
      <c r="F44" s="385">
        <f>IF(F$23=0,0,IF(B44=0,0,2*INT((B44-2*($F$9-$F$8)-$F$10-IF($F$18=1,$F$8,0))/(2*$F$8)+1)-IF(D44&gt;F$23,IF($F$18=1,IF(MOD(F$23+1,2)=0,0,2),IF(MOD(F$23+1,2)=0,2,0)),0)))</f>
        <v>0</v>
      </c>
      <c r="G44" s="375">
        <v>14</v>
      </c>
      <c r="H44" s="376">
        <f>IF(E44&gt;H$25,IF($F$18=1,IF(MOD(H$25,2)=0,(H$25-1),H$25),IF(MOD(H$25,2)=0,H$25,(H$25-1))),E44)</f>
        <v>0</v>
      </c>
      <c r="I44" s="375">
        <v>14</v>
      </c>
      <c r="J44" s="377">
        <f>IF(F44&gt;J$25,IF($F$18=1,IF(MOD(J$25,2)=0,(J$25-2)/2,(J$25-1)/2),IF(MOD(J$25,2)=0,J$25/2,(J$25-1)/2)),F44/2)</f>
        <v>0</v>
      </c>
      <c r="K44" s="378">
        <f t="shared" si="2"/>
        <v>0.27599999999999997</v>
      </c>
      <c r="L44" s="379">
        <f t="shared" si="1"/>
        <v>0</v>
      </c>
      <c r="M44" s="644">
        <f>IF(D44&gt;=M$23,D44-M$23,0)</f>
        <v>0</v>
      </c>
    </row>
    <row r="45" spans="1:13" ht="15" customHeight="1">
      <c r="A45" s="380">
        <v>15</v>
      </c>
      <c r="B45" s="381">
        <f t="shared" si="0"/>
        <v>0</v>
      </c>
      <c r="C45" s="382">
        <f>IF(B45=0,0,2*INT((B45-$F$10-IF($F$18=1,0,$F$8))/(2*$F$8)+1)+IF($F$18=1,0,1))</f>
        <v>0</v>
      </c>
      <c r="D45" s="383">
        <f>IF(B45=0,0,2*INT((B45-$F$10-IF($F$18=1,0,$F$8))/(2*$F$8)+1))</f>
        <v>0</v>
      </c>
      <c r="E45" s="384">
        <f>IF(F$22=0,0,IF(B45=0,0,2*INT((B45-2*($F$9-$F$8)-$F$10-IF($F$18=1,0,$F$8))/(2*$F$8)+1)+IF($F$18=1,0,1)-IF(C45&gt;F$22,IF($F$18=1,IF(MOD(F$22+1,2)=0,2,0),IF(MOD(F$22+1,2)=0,0,2)),0)))</f>
        <v>0</v>
      </c>
      <c r="F45" s="385">
        <f>IF(F$23=0,0,IF(B45=0,0,2*INT((B45-2*($F$9-$F$8)-$F$10-IF($F$18=1,0,$F$8))/(2*$F$8)+1)-IF(D45&gt;F$23,IF($F$18=1,IF(MOD(F$23+1,2)=0,2,0),IF(MOD(F$23+1,2)=0,0,2)),0)))</f>
        <v>0</v>
      </c>
      <c r="G45" s="375">
        <v>15</v>
      </c>
      <c r="H45" s="376">
        <f>IF(E45&gt;H$25,IF($F$18=1,IF(MOD(H$25,2)=0,H$25,(H$25-1)),IF(MOD(H$25,2)=0,(H$25-1),H$25)),E45)</f>
        <v>0</v>
      </c>
      <c r="I45" s="375">
        <v>15</v>
      </c>
      <c r="J45" s="377">
        <f>IF(F45&gt;J$25,IF($F$18=1,IF(MOD(J$25,2)=0,J$25/2,(J$25-1)/2),IF(MOD(J$25,2)=0,(J$25-2)/2,(J$25-1)/2)),F45/2)</f>
        <v>0</v>
      </c>
      <c r="K45" s="378">
        <f t="shared" si="2"/>
        <v>0.2955</v>
      </c>
      <c r="L45" s="379">
        <f t="shared" si="1"/>
        <v>0</v>
      </c>
      <c r="M45" s="644">
        <f>IF(D45&gt;=M$22,D45-M$22,0)</f>
        <v>0</v>
      </c>
    </row>
    <row r="46" spans="1:13" ht="15" customHeight="1">
      <c r="A46" s="380">
        <v>16</v>
      </c>
      <c r="B46" s="381">
        <f t="shared" si="0"/>
        <v>0</v>
      </c>
      <c r="C46" s="382">
        <f>IF(B46=0,0,2*INT((B46-$F$10-IF($F$18=1,$F$8,0))/(2*$F$8)+1)+IF($F$18=1,1,0))</f>
        <v>0</v>
      </c>
      <c r="D46" s="383">
        <f>IF(B46=0,0,2*INT((B46-$F$10-IF($F$18=1,$F$8,0))/(2*$F$8)+1))</f>
        <v>0</v>
      </c>
      <c r="E46" s="384">
        <f>IF(F$22=0,0,IF(B46=0,0,2*INT((B46-2*($F$9-$F$8)-$F$10-IF($F$18=1,$F$8,0))/(2*$F$8)+1)+IF($F$18=1,1,0)-IF(C46&gt;F$22,IF($F$18=1,IF(MOD(F$22+1,2)=0,0,2),IF(MOD(F$22+1,2)=0,2,0)),0)))</f>
        <v>0</v>
      </c>
      <c r="F46" s="385">
        <f>IF(F$23=0,0,IF(B46=0,0,2*INT((B46-2*($F$9-$F$8)-$F$10-IF($F$18=1,$F$8,0))/(2*$F$8)+1)-IF(D46&gt;F$23,IF($F$18=1,IF(MOD(F$23+1,2)=0,0,2),IF(MOD(F$23+1,2)=0,2,0)),0)))</f>
        <v>0</v>
      </c>
      <c r="G46" s="375">
        <v>16</v>
      </c>
      <c r="H46" s="376">
        <f>IF(E46&gt;H$25,IF($F$18=1,IF(MOD(H$25,2)=0,(H$25-1),H$25),IF(MOD(H$25,2)=0,H$25,(H$25-1))),E46)</f>
        <v>0</v>
      </c>
      <c r="I46" s="375">
        <v>16</v>
      </c>
      <c r="J46" s="377">
        <f>IF(F46&gt;J$25,IF($F$18=1,IF(MOD(J$25,2)=0,(J$25-2)/2,(J$25-1)/2),IF(MOD(J$25,2)=0,J$25/2,(J$25-1)/2)),F46/2)</f>
        <v>0</v>
      </c>
      <c r="K46" s="378">
        <f t="shared" si="2"/>
        <v>0.315</v>
      </c>
      <c r="L46" s="379">
        <f t="shared" si="1"/>
        <v>0</v>
      </c>
      <c r="M46" s="644">
        <f>IF(D46&gt;=M$23,D46-M$23,0)</f>
        <v>0</v>
      </c>
    </row>
    <row r="47" spans="1:13" ht="15" customHeight="1">
      <c r="A47" s="380">
        <v>17</v>
      </c>
      <c r="B47" s="381">
        <f t="shared" si="0"/>
        <v>0</v>
      </c>
      <c r="C47" s="382">
        <f>IF(B47=0,0,2*INT((B47-$F$10-IF($F$18=1,0,$F$8))/(2*$F$8)+1)+IF($F$18=1,0,1))</f>
        <v>0</v>
      </c>
      <c r="D47" s="383">
        <f>IF(B47=0,0,2*INT((B47-$F$10-IF($F$18=1,0,$F$8))/(2*$F$8)+1))</f>
        <v>0</v>
      </c>
      <c r="E47" s="384">
        <f>IF(F$22=0,0,IF(B47=0,0,2*INT((B47-2*($F$9-$F$8)-$F$10-IF($F$18=1,0,$F$8))/(2*$F$8)+1)+IF($F$18=1,0,1)-IF(C47&gt;F$22,IF($F$18=1,IF(MOD(F$22+1,2)=0,2,0),IF(MOD(F$22+1,2)=0,0,2)),0)))</f>
        <v>0</v>
      </c>
      <c r="F47" s="385">
        <f>IF(F$23=0,0,IF(B47=0,0,2*INT((B47-2*($F$9-$F$8)-$F$10-IF($F$18=1,0,$F$8))/(2*$F$8)+1)-IF(D47&gt;F$23,IF($F$18=1,IF(MOD(F$23+1,2)=0,2,0),IF(MOD(F$23+1,2)=0,0,2)),0)))</f>
        <v>0</v>
      </c>
      <c r="G47" s="375">
        <v>17</v>
      </c>
      <c r="H47" s="376">
        <f>IF(E47&gt;H$25,IF($F$18=1,IF(MOD(H$25,2)=0,H$25,(H$25-1)),IF(MOD(H$25,2)=0,(H$25-1),H$25)),E47)</f>
        <v>0</v>
      </c>
      <c r="I47" s="375">
        <v>17</v>
      </c>
      <c r="J47" s="377">
        <f>IF(F47&gt;J$25,IF($F$18=1,IF(MOD(J$25,2)=0,J$25/2,(J$25-1)/2),IF(MOD(J$25,2)=0,(J$25-2)/2,(J$25-1)/2)),F47/2)</f>
        <v>0</v>
      </c>
      <c r="K47" s="378">
        <f t="shared" si="2"/>
        <v>0.3345</v>
      </c>
      <c r="L47" s="379">
        <f t="shared" si="1"/>
        <v>0</v>
      </c>
      <c r="M47" s="644">
        <f>IF(D47&gt;=M$22,D47-M$22,0)</f>
        <v>0</v>
      </c>
    </row>
    <row r="48" spans="1:13" ht="15" customHeight="1">
      <c r="A48" s="380">
        <v>18</v>
      </c>
      <c r="B48" s="381">
        <f t="shared" si="0"/>
        <v>0</v>
      </c>
      <c r="C48" s="382">
        <f>IF(B48=0,0,2*INT((B48-$F$10-IF($F$18=1,$F$8,0))/(2*$F$8)+1)+IF($F$18=1,1,0))</f>
        <v>0</v>
      </c>
      <c r="D48" s="383">
        <f>IF(B48=0,0,2*INT((B48-$F$10-IF($F$18=1,$F$8,0))/(2*$F$8)+1))</f>
        <v>0</v>
      </c>
      <c r="E48" s="384">
        <f>IF(F$22=0,0,IF(B48=0,0,2*INT((B48-2*($F$9-$F$8)-$F$10-IF($F$18=1,$F$8,0))/(2*$F$8)+1)+IF($F$18=1,1,0)-IF(C48&gt;F$22,IF($F$18=1,IF(MOD(F$22+1,2)=0,0,2),IF(MOD(F$22+1,2)=0,2,0)),0)))</f>
        <v>0</v>
      </c>
      <c r="F48" s="385">
        <f>IF(F$23=0,0,IF(B48=0,0,2*INT((B48-2*($F$9-$F$8)-$F$10-IF($F$18=1,$F$8,0))/(2*$F$8)+1)-IF(D48&gt;F$23,IF($F$18=1,IF(MOD(F$23+1,2)=0,0,2),IF(MOD(F$23+1,2)=0,2,0)),0)))</f>
        <v>0</v>
      </c>
      <c r="G48" s="375">
        <v>18</v>
      </c>
      <c r="H48" s="376">
        <f>IF(E48&gt;H$25,IF($F$18=1,IF(MOD(H$25,2)=0,(H$25-1),H$25),IF(MOD(H$25,2)=0,H$25,(H$25-1))),E48)</f>
        <v>0</v>
      </c>
      <c r="I48" s="375">
        <v>18</v>
      </c>
      <c r="J48" s="377">
        <f>IF(F48&gt;J$25,IF($F$18=1,IF(MOD(J$25,2)=0,(J$25-2)/2,(J$25-1)/2),IF(MOD(J$25,2)=0,J$25/2,(J$25-1)/2)),F48/2)</f>
        <v>0</v>
      </c>
      <c r="K48" s="378">
        <f t="shared" si="2"/>
        <v>0.35400000000000004</v>
      </c>
      <c r="L48" s="379">
        <f t="shared" si="1"/>
        <v>0</v>
      </c>
      <c r="M48" s="644">
        <f>IF(D48&gt;=M$23,D48-M$23,0)</f>
        <v>0</v>
      </c>
    </row>
    <row r="49" spans="1:13" ht="15" customHeight="1">
      <c r="A49" s="380">
        <v>19</v>
      </c>
      <c r="B49" s="381">
        <f t="shared" si="0"/>
        <v>0</v>
      </c>
      <c r="C49" s="382">
        <f>IF(B49=0,0,2*INT((B49-$F$10-IF($F$18=1,0,$F$8))/(2*$F$8)+1)+IF($F$18=1,0,1))</f>
        <v>0</v>
      </c>
      <c r="D49" s="383">
        <f>IF(B49=0,0,2*INT((B49-$F$10-IF($F$18=1,0,$F$8))/(2*$F$8)+1))</f>
        <v>0</v>
      </c>
      <c r="E49" s="384">
        <f>IF(F$22=0,0,IF(B49=0,0,2*INT((B49-2*($F$9-$F$8)-$F$10-IF($F$18=1,0,$F$8))/(2*$F$8)+1)+IF($F$18=1,0,1)-IF(C49&gt;F$22,IF($F$18=1,IF(MOD(F$22+1,2)=0,2,0),IF(MOD(F$22+1,2)=0,0,2)),0)))</f>
        <v>0</v>
      </c>
      <c r="F49" s="385">
        <f>IF(F$23=0,0,IF(B49=0,0,2*INT((B49-2*($F$9-$F$8)-$F$10-IF($F$18=1,0,$F$8))/(2*$F$8)+1)-IF(D49&gt;F$23,IF($F$18=1,IF(MOD(F$23+1,2)=0,2,0),IF(MOD(F$23+1,2)=0,0,2)),0)))</f>
        <v>0</v>
      </c>
      <c r="G49" s="375">
        <v>19</v>
      </c>
      <c r="H49" s="376">
        <f>IF(E49&gt;H$25,IF($F$18=1,IF(MOD(H$25,2)=0,H$25,(H$25-1)),IF(MOD(H$25,2)=0,(H$25-1),H$25)),E49)</f>
        <v>0</v>
      </c>
      <c r="I49" s="375">
        <v>19</v>
      </c>
      <c r="J49" s="377">
        <f>IF(F49&gt;J$25,IF($F$18=1,IF(MOD(J$25,2)=0,J$25/2,(J$25-1)/2),IF(MOD(J$25,2)=0,(J$25-2)/2,(J$25-1)/2)),F49/2)</f>
        <v>0</v>
      </c>
      <c r="K49" s="378">
        <f t="shared" si="2"/>
        <v>0.37350000000000005</v>
      </c>
      <c r="L49" s="379">
        <f t="shared" si="1"/>
        <v>0</v>
      </c>
      <c r="M49" s="644">
        <f>IF(D49&gt;=M$22,D49-M$22,0)</f>
        <v>0</v>
      </c>
    </row>
    <row r="50" spans="1:13" ht="15" customHeight="1">
      <c r="A50" s="386">
        <v>20</v>
      </c>
      <c r="B50" s="387">
        <f t="shared" si="0"/>
        <v>0</v>
      </c>
      <c r="C50" s="388">
        <f>IF(B50=0,0,2*INT((B50-$F$10-IF($F$18=1,$F$8,0))/(2*$F$8)+1)+IF($F$18=1,1,0))</f>
        <v>0</v>
      </c>
      <c r="D50" s="389">
        <f>IF(B50=0,0,2*INT((B50-$F$10-IF($F$18=1,$F$8,0))/(2*$F$8)+1))</f>
        <v>0</v>
      </c>
      <c r="E50" s="390">
        <f>IF(F$22=0,0,IF(B50=0,0,2*INT((B50-2*($F$9-$F$8)-$F$10-IF($F$18=1,$F$8,0))/(2*$F$8)+1)+IF($F$18=1,1,0)-IF(C50&gt;F$22,IF($F$18=1,IF(MOD(F$22+1,2)=0,0,2),IF(MOD(F$22+1,2)=0,2,0)),0)))</f>
        <v>0</v>
      </c>
      <c r="F50" s="391">
        <f>IF(F$23=0,0,IF(B50=0,0,2*INT((B50-2*($F$9-$F$8)-$F$10-IF($F$18=1,$F$8,0))/(2*$F$8)+1)-IF(D50&gt;F$23,IF($F$18=1,IF(MOD(F$23+1,2)=0,0,2),IF(MOD(F$23+1,2)=0,2,0)),0)))</f>
        <v>0</v>
      </c>
      <c r="G50" s="363">
        <v>20</v>
      </c>
      <c r="H50" s="364">
        <f>IF(E50&gt;H$25,IF($F$18=1,IF(MOD(H$25,2)=0,(H$25-1),H$25),IF(MOD(H$25,2)=0,H$25,(H$25-1))),E50)</f>
        <v>0</v>
      </c>
      <c r="I50" s="363">
        <v>20</v>
      </c>
      <c r="J50" s="365">
        <f>IF(F50&gt;J$25,IF($F$18=1,IF(MOD(J$25,2)=0,(J$25-2)/2,(J$25-1)/2),IF(MOD(J$25,2)=0,J$25/2,(J$25-1)/2)),F50/2)</f>
        <v>0</v>
      </c>
      <c r="K50" s="392">
        <f t="shared" si="2"/>
        <v>0.39300000000000007</v>
      </c>
      <c r="L50" s="393">
        <f t="shared" si="1"/>
        <v>0</v>
      </c>
      <c r="M50" s="645">
        <f>IF(D50&gt;=M$23,D50-M$23,0)</f>
        <v>0</v>
      </c>
    </row>
    <row r="51" spans="1:13" ht="15" customHeight="1">
      <c r="A51" s="369">
        <v>21</v>
      </c>
      <c r="B51" s="370">
        <f t="shared" si="0"/>
        <v>0</v>
      </c>
      <c r="C51" s="371">
        <f>IF(B51=0,0,2*INT((B51-$F$10-IF($F$18=1,0,$F$8))/(2*$F$8)+1)+IF($F$18=1,0,1))</f>
        <v>0</v>
      </c>
      <c r="D51" s="372">
        <f>IF(B51=0,0,2*INT((B51-$F$10-IF($F$18=1,0,$F$8))/(2*$F$8)+1))</f>
        <v>0</v>
      </c>
      <c r="E51" s="373">
        <f>IF(F$22=0,0,IF(B51=0,0,2*INT((B51-2*($F$9-$F$8)-$F$10-IF($F$18=1,0,$F$8))/(2*$F$8)+1)+IF($F$18=1,0,1)-IF(C51&gt;F$22,IF($F$18=1,IF(MOD(F$22+1,2)=0,2,0),IF(MOD(F$22+1,2)=0,0,2)),0)))</f>
        <v>0</v>
      </c>
      <c r="F51" s="374">
        <f>IF(F$23=0,0,IF(B51=0,0,2*INT((B51-2*($F$9-$F$8)-$F$10-IF($F$18=1,0,$F$8))/(2*$F$8)+1)-IF(D51&gt;F$23,IF($F$18=1,IF(MOD(F$23+1,2)=0,2,0),IF(MOD(F$23+1,2)=0,0,2)),0)))</f>
        <v>0</v>
      </c>
      <c r="G51" s="375">
        <v>21</v>
      </c>
      <c r="H51" s="376">
        <f>IF(E51&gt;H$25,IF($F$18=1,IF(MOD(H$25,2)=0,H$25,(H$25-1)),IF(MOD(H$25,2)=0,(H$25-1),H$25)),E51)</f>
        <v>0</v>
      </c>
      <c r="I51" s="375">
        <v>21</v>
      </c>
      <c r="J51" s="377">
        <f>IF(F51&gt;J$25,IF($F$18=1,IF(MOD(J$25,2)=0,J$25/2,(J$25-1)/2),IF(MOD(J$25,2)=0,(J$25-2)/2,(J$25-1)/2)),F51/2)</f>
        <v>0</v>
      </c>
      <c r="K51" s="378">
        <f t="shared" si="2"/>
        <v>0.4125000000000001</v>
      </c>
      <c r="L51" s="379">
        <f t="shared" si="1"/>
        <v>0</v>
      </c>
      <c r="M51" s="644">
        <f>IF(D51&gt;=M$22,D51-M$22,0)</f>
        <v>0</v>
      </c>
    </row>
    <row r="52" spans="1:13" ht="15" customHeight="1">
      <c r="A52" s="380">
        <v>22</v>
      </c>
      <c r="B52" s="381">
        <f t="shared" si="0"/>
        <v>0</v>
      </c>
      <c r="C52" s="382">
        <f>IF(B52=0,0,2*INT((B52-$F$10-IF($F$18=1,$F$8,0))/(2*$F$8)+1)+IF($F$18=1,1,0))</f>
        <v>0</v>
      </c>
      <c r="D52" s="383">
        <f>IF(B52=0,0,2*INT((B52-$F$10-IF($F$18=1,$F$8,0))/(2*$F$8)+1))</f>
        <v>0</v>
      </c>
      <c r="E52" s="384">
        <f>IF(F$22=0,0,IF(B52=0,0,2*INT((B52-2*($F$9-$F$8)-$F$10-IF($F$18=1,$F$8,0))/(2*$F$8)+1)+IF($F$18=1,1,0)-IF(C52&gt;F$22,IF($F$18=1,IF(MOD(F$22+1,2)=0,0,2),IF(MOD(F$22+1,2)=0,2,0)),0)))</f>
        <v>0</v>
      </c>
      <c r="F52" s="385">
        <f>IF(F$23=0,0,IF(B52=0,0,2*INT((B52-2*($F$9-$F$8)-$F$10-IF($F$18=1,$F$8,0))/(2*$F$8)+1)-IF(D52&gt;F$23,IF($F$18=1,IF(MOD(F$23+1,2)=0,0,2),IF(MOD(F$23+1,2)=0,2,0)),0)))</f>
        <v>0</v>
      </c>
      <c r="G52" s="375">
        <v>22</v>
      </c>
      <c r="H52" s="376">
        <f>IF(E52&gt;H$25,IF($F$18=1,IF(MOD(H$25,2)=0,(H$25-1),H$25),IF(MOD(H$25,2)=0,H$25,(H$25-1))),E52)</f>
        <v>0</v>
      </c>
      <c r="I52" s="375">
        <v>22</v>
      </c>
      <c r="J52" s="377">
        <f>IF(F52&gt;J$25,IF($F$18=1,IF(MOD(J$25,2)=0,(J$25-2)/2,(J$25-1)/2),IF(MOD(J$25,2)=0,J$25/2,(J$25-1)/2)),F52/2)</f>
        <v>0</v>
      </c>
      <c r="K52" s="378">
        <f t="shared" si="2"/>
        <v>0.4320000000000001</v>
      </c>
      <c r="L52" s="379">
        <f t="shared" si="1"/>
        <v>0</v>
      </c>
      <c r="M52" s="644">
        <f>IF(D52&gt;=M$23,D52-M$23,0)</f>
        <v>0</v>
      </c>
    </row>
    <row r="53" spans="1:13" ht="15" customHeight="1">
      <c r="A53" s="380">
        <v>23</v>
      </c>
      <c r="B53" s="381">
        <f t="shared" si="0"/>
        <v>0</v>
      </c>
      <c r="C53" s="382">
        <f>IF(B53=0,0,2*INT((B53-$F$10-IF($F$18=1,0,$F$8))/(2*$F$8)+1)+IF($F$18=1,0,1))</f>
        <v>0</v>
      </c>
      <c r="D53" s="383">
        <f>IF(B53=0,0,2*INT((B53-$F$10-IF($F$18=1,0,$F$8))/(2*$F$8)+1))</f>
        <v>0</v>
      </c>
      <c r="E53" s="384">
        <f>IF(F$22=0,0,IF(B53=0,0,2*INT((B53-2*($F$9-$F$8)-$F$10-IF($F$18=1,0,$F$8))/(2*$F$8)+1)+IF($F$18=1,0,1)-IF(C53&gt;F$22,IF($F$18=1,IF(MOD(F$22+1,2)=0,2,0),IF(MOD(F$22+1,2)=0,0,2)),0)))</f>
        <v>0</v>
      </c>
      <c r="F53" s="385">
        <f>IF(F$23=0,0,IF(B53=0,0,2*INT((B53-2*($F$9-$F$8)-$F$10-IF($F$18=1,0,$F$8))/(2*$F$8)+1)-IF(D53&gt;F$23,IF($F$18=1,IF(MOD(F$23+1,2)=0,2,0),IF(MOD(F$23+1,2)=0,0,2)),0)))</f>
        <v>0</v>
      </c>
      <c r="G53" s="375">
        <v>23</v>
      </c>
      <c r="H53" s="376">
        <f>IF(E53&gt;H$25,IF($F$18=1,IF(MOD(H$25,2)=0,H$25,(H$25-1)),IF(MOD(H$25,2)=0,(H$25-1),H$25)),E53)</f>
        <v>0</v>
      </c>
      <c r="I53" s="375">
        <v>23</v>
      </c>
      <c r="J53" s="377">
        <f>IF(F53&gt;J$25,IF($F$18=1,IF(MOD(J$25,2)=0,J$25/2,(J$25-1)/2),IF(MOD(J$25,2)=0,(J$25-2)/2,(J$25-1)/2)),F53/2)</f>
        <v>0</v>
      </c>
      <c r="K53" s="378">
        <f t="shared" si="2"/>
        <v>0.4515000000000001</v>
      </c>
      <c r="L53" s="379">
        <f t="shared" si="1"/>
        <v>0</v>
      </c>
      <c r="M53" s="644">
        <f>IF(D53&gt;=M$22,D53-M$22,0)</f>
        <v>0</v>
      </c>
    </row>
    <row r="54" spans="1:13" ht="15" customHeight="1">
      <c r="A54" s="380">
        <v>24</v>
      </c>
      <c r="B54" s="381">
        <f t="shared" si="0"/>
        <v>0</v>
      </c>
      <c r="C54" s="382">
        <f>IF(B54=0,0,2*INT((B54-$F$10-IF($F$18=1,$F$8,0))/(2*$F$8)+1)+IF($F$18=1,1,0))</f>
        <v>0</v>
      </c>
      <c r="D54" s="383">
        <f>IF(B54=0,0,2*INT((B54-$F$10-IF($F$18=1,$F$8,0))/(2*$F$8)+1))</f>
        <v>0</v>
      </c>
      <c r="E54" s="384">
        <f>IF(F$22=0,0,IF(B54=0,0,2*INT((B54-2*($F$9-$F$8)-$F$10-IF($F$18=1,$F$8,0))/(2*$F$8)+1)+IF($F$18=1,1,0)-IF(C54&gt;F$22,IF($F$18=1,IF(MOD(F$22+1,2)=0,0,2),IF(MOD(F$22+1,2)=0,2,0)),0)))</f>
        <v>0</v>
      </c>
      <c r="F54" s="385">
        <f>IF(F$23=0,0,IF(B54=0,0,2*INT((B54-2*($F$9-$F$8)-$F$10-IF($F$18=1,$F$8,0))/(2*$F$8)+1)-IF(D54&gt;F$23,IF($F$18=1,IF(MOD(F$23+1,2)=0,0,2),IF(MOD(F$23+1,2)=0,2,0)),0)))</f>
        <v>0</v>
      </c>
      <c r="G54" s="375">
        <v>24</v>
      </c>
      <c r="H54" s="376">
        <f>IF(E54&gt;H$25,IF($F$18=1,IF(MOD(H$25,2)=0,(H$25-1),H$25),IF(MOD(H$25,2)=0,H$25,(H$25-1))),E54)</f>
        <v>0</v>
      </c>
      <c r="I54" s="375">
        <v>24</v>
      </c>
      <c r="J54" s="377">
        <f>IF(F54&gt;J$25,IF($F$18=1,IF(MOD(J$25,2)=0,(J$25-2)/2,(J$25-1)/2),IF(MOD(J$25,2)=0,J$25/2,(J$25-1)/2)),F54/2)</f>
        <v>0</v>
      </c>
      <c r="K54" s="378">
        <f t="shared" si="2"/>
        <v>0.47100000000000014</v>
      </c>
      <c r="L54" s="379">
        <f t="shared" si="1"/>
        <v>0</v>
      </c>
      <c r="M54" s="644">
        <f>IF(D54&gt;=M$23,D54-M$23,0)</f>
        <v>0</v>
      </c>
    </row>
    <row r="55" spans="1:13" ht="15" customHeight="1">
      <c r="A55" s="380">
        <v>25</v>
      </c>
      <c r="B55" s="381">
        <f t="shared" si="0"/>
        <v>0</v>
      </c>
      <c r="C55" s="382">
        <f>IF(B55=0,0,2*INT((B55-$F$10-IF($F$18=1,0,$F$8))/(2*$F$8)+1)+IF($F$18=1,0,1))</f>
        <v>0</v>
      </c>
      <c r="D55" s="383">
        <f>IF(B55=0,0,2*INT((B55-$F$10-IF($F$18=1,0,$F$8))/(2*$F$8)+1))</f>
        <v>0</v>
      </c>
      <c r="E55" s="384">
        <f>IF(F$22=0,0,IF(B55=0,0,2*INT((B55-2*($F$9-$F$8)-$F$10-IF($F$18=1,0,$F$8))/(2*$F$8)+1)+IF($F$18=1,0,1)-IF(C55&gt;F$22,IF($F$18=1,IF(MOD(F$22+1,2)=0,2,0),IF(MOD(F$22+1,2)=0,0,2)),0)))</f>
        <v>0</v>
      </c>
      <c r="F55" s="385">
        <f>IF(F$23=0,0,IF(B55=0,0,2*INT((B55-2*($F$9-$F$8)-$F$10-IF($F$18=1,0,$F$8))/(2*$F$8)+1)-IF(D55&gt;F$23,IF($F$18=1,IF(MOD(F$23+1,2)=0,2,0),IF(MOD(F$23+1,2)=0,0,2)),0)))</f>
        <v>0</v>
      </c>
      <c r="G55" s="375">
        <v>25</v>
      </c>
      <c r="H55" s="376">
        <f>IF(E55&gt;H$25,IF($F$18=1,IF(MOD(H$25,2)=0,H$25,(H$25-1)),IF(MOD(H$25,2)=0,(H$25-1),H$25)),E55)</f>
        <v>0</v>
      </c>
      <c r="I55" s="375">
        <v>25</v>
      </c>
      <c r="J55" s="377">
        <f>IF(F55&gt;J$25,IF($F$18=1,IF(MOD(J$25,2)=0,J$25/2,(J$25-1)/2),IF(MOD(J$25,2)=0,(J$25-2)/2,(J$25-1)/2)),F55/2)</f>
        <v>0</v>
      </c>
      <c r="K55" s="378">
        <f t="shared" si="2"/>
        <v>0.49050000000000016</v>
      </c>
      <c r="L55" s="379">
        <f t="shared" si="1"/>
        <v>0</v>
      </c>
      <c r="M55" s="644">
        <f>IF(D55&gt;=M$22,D55-M$22,0)</f>
        <v>0</v>
      </c>
    </row>
    <row r="56" spans="1:13" ht="15" customHeight="1">
      <c r="A56" s="380">
        <v>26</v>
      </c>
      <c r="B56" s="381">
        <f t="shared" si="0"/>
        <v>0</v>
      </c>
      <c r="C56" s="382">
        <f>IF(B56=0,0,2*INT((B56-$F$10-IF($F$18=1,$F$8,0))/(2*$F$8)+1)+IF($F$18=1,1,0))</f>
        <v>0</v>
      </c>
      <c r="D56" s="383">
        <f>IF(B56=0,0,2*INT((B56-$F$10-IF($F$18=1,$F$8,0))/(2*$F$8)+1))</f>
        <v>0</v>
      </c>
      <c r="E56" s="384">
        <f>IF(F$22=0,0,IF(B56=0,0,2*INT((B56-2*($F$9-$F$8)-$F$10-IF($F$18=1,$F$8,0))/(2*$F$8)+1)+IF($F$18=1,1,0)-IF(C56&gt;F$22,IF($F$18=1,IF(MOD(F$22+1,2)=0,0,2),IF(MOD(F$22+1,2)=0,2,0)),0)))</f>
        <v>0</v>
      </c>
      <c r="F56" s="385">
        <f>IF(F$23=0,0,IF(B56=0,0,2*INT((B56-2*($F$9-$F$8)-$F$10-IF($F$18=1,$F$8,0))/(2*$F$8)+1)-IF(D56&gt;F$23,IF($F$18=1,IF(MOD(F$23+1,2)=0,0,2),IF(MOD(F$23+1,2)=0,2,0)),0)))</f>
        <v>0</v>
      </c>
      <c r="G56" s="375">
        <v>26</v>
      </c>
      <c r="H56" s="376">
        <f>IF(E56&gt;H$25,IF($F$18=1,IF(MOD(H$25,2)=0,(H$25-1),H$25),IF(MOD(H$25,2)=0,H$25,(H$25-1))),E56)</f>
        <v>0</v>
      </c>
      <c r="I56" s="375">
        <v>26</v>
      </c>
      <c r="J56" s="377">
        <f>IF(F56&gt;J$25,IF($F$18=1,IF(MOD(J$25,2)=0,(J$25-2)/2,(J$25-1)/2),IF(MOD(J$25,2)=0,J$25/2,(J$25-1)/2)),F56/2)</f>
        <v>0</v>
      </c>
      <c r="K56" s="378">
        <f t="shared" si="2"/>
        <v>0.5100000000000001</v>
      </c>
      <c r="L56" s="379">
        <f t="shared" si="1"/>
        <v>0</v>
      </c>
      <c r="M56" s="644">
        <f>IF(D56&gt;=M$23,D56-M$23,0)</f>
        <v>0</v>
      </c>
    </row>
    <row r="57" spans="1:13" ht="15" customHeight="1">
      <c r="A57" s="380">
        <v>27</v>
      </c>
      <c r="B57" s="381">
        <f t="shared" si="0"/>
        <v>0</v>
      </c>
      <c r="C57" s="382">
        <f>IF(B57=0,0,2*INT((B57-$F$10-IF($F$18=1,0,$F$8))/(2*$F$8)+1)+IF($F$18=1,0,1))</f>
        <v>0</v>
      </c>
      <c r="D57" s="383">
        <f>IF(B57=0,0,2*INT((B57-$F$10-IF($F$18=1,0,$F$8))/(2*$F$8)+1))</f>
        <v>0</v>
      </c>
      <c r="E57" s="384">
        <f>IF(F$22=0,0,IF(B57=0,0,2*INT((B57-2*($F$9-$F$8)-$F$10-IF($F$18=1,0,$F$8))/(2*$F$8)+1)+IF($F$18=1,0,1)-IF(C57&gt;F$22,IF($F$18=1,IF(MOD(F$22+1,2)=0,2,0),IF(MOD(F$22+1,2)=0,0,2)),0)))</f>
        <v>0</v>
      </c>
      <c r="F57" s="385">
        <f>IF(F$23=0,0,IF(B57=0,0,2*INT((B57-2*($F$9-$F$8)-$F$10-IF($F$18=1,0,$F$8))/(2*$F$8)+1)-IF(D57&gt;F$23,IF($F$18=1,IF(MOD(F$23+1,2)=0,2,0),IF(MOD(F$23+1,2)=0,0,2)),0)))</f>
        <v>0</v>
      </c>
      <c r="G57" s="375">
        <v>27</v>
      </c>
      <c r="H57" s="376">
        <f>IF(E57&gt;H$25,IF($F$18=1,IF(MOD(H$25,2)=0,H$25,(H$25-1)),IF(MOD(H$25,2)=0,(H$25-1),H$25)),E57)</f>
        <v>0</v>
      </c>
      <c r="I57" s="375">
        <v>27</v>
      </c>
      <c r="J57" s="377">
        <f>IF(F57&gt;J$25,IF($F$18=1,IF(MOD(J$25,2)=0,J$25/2,(J$25-1)/2),IF(MOD(J$25,2)=0,(J$25-2)/2,(J$25-1)/2)),F57/2)</f>
        <v>0</v>
      </c>
      <c r="K57" s="378">
        <f t="shared" si="2"/>
        <v>0.5295000000000001</v>
      </c>
      <c r="L57" s="379">
        <f t="shared" si="1"/>
        <v>0</v>
      </c>
      <c r="M57" s="644">
        <f>IF(D57&gt;=M$22,D57-M$22,0)</f>
        <v>0</v>
      </c>
    </row>
    <row r="58" spans="1:13" ht="15" customHeight="1">
      <c r="A58" s="380">
        <v>28</v>
      </c>
      <c r="B58" s="381">
        <f t="shared" si="0"/>
        <v>0</v>
      </c>
      <c r="C58" s="382">
        <f>IF(B58=0,0,2*INT((B58-$F$10-IF($F$18=1,$F$8,0))/(2*$F$8)+1)+IF($F$18=1,1,0))</f>
        <v>0</v>
      </c>
      <c r="D58" s="383">
        <f>IF(B58=0,0,2*INT((B58-$F$10-IF($F$18=1,$F$8,0))/(2*$F$8)+1))</f>
        <v>0</v>
      </c>
      <c r="E58" s="384">
        <f>IF(F$22=0,0,IF(B58=0,0,2*INT((B58-2*($F$9-$F$8)-$F$10-IF($F$18=1,$F$8,0))/(2*$F$8)+1)+IF($F$18=1,1,0)-IF(C58&gt;F$22,IF($F$18=1,IF(MOD(F$22+1,2)=0,0,2),IF(MOD(F$22+1,2)=0,2,0)),0)))</f>
        <v>0</v>
      </c>
      <c r="F58" s="385">
        <f>IF(F$23=0,0,IF(B58=0,0,2*INT((B58-2*($F$9-$F$8)-$F$10-IF($F$18=1,$F$8,0))/(2*$F$8)+1)-IF(D58&gt;F$23,IF($F$18=1,IF(MOD(F$23+1,2)=0,0,2),IF(MOD(F$23+1,2)=0,2,0)),0)))</f>
        <v>0</v>
      </c>
      <c r="G58" s="375">
        <v>28</v>
      </c>
      <c r="H58" s="376">
        <f>IF(E58&gt;H$25,IF($F$18=1,IF(MOD(H$25,2)=0,(H$25-1),H$25),IF(MOD(H$25,2)=0,H$25,(H$25-1))),E58)</f>
        <v>0</v>
      </c>
      <c r="I58" s="375">
        <v>28</v>
      </c>
      <c r="J58" s="377">
        <f>IF(F58&gt;J$25,IF($F$18=1,IF(MOD(J$25,2)=0,(J$25-2)/2,(J$25-1)/2),IF(MOD(J$25,2)=0,J$25/2,(J$25-1)/2)),F58/2)</f>
        <v>0</v>
      </c>
      <c r="K58" s="378">
        <f t="shared" si="2"/>
        <v>0.549</v>
      </c>
      <c r="L58" s="379">
        <f t="shared" si="1"/>
        <v>0</v>
      </c>
      <c r="M58" s="644">
        <f>IF(D58&gt;=M$23,D58-M$23,0)</f>
        <v>0</v>
      </c>
    </row>
    <row r="59" spans="1:15" ht="15" customHeight="1">
      <c r="A59" s="380">
        <v>29</v>
      </c>
      <c r="B59" s="381">
        <f t="shared" si="0"/>
        <v>0</v>
      </c>
      <c r="C59" s="382">
        <f>IF(B59=0,0,2*INT((B59-$F$10-IF($F$18=1,0,$F$8))/(2*$F$8)+1)+IF($F$18=1,0,1))</f>
        <v>0</v>
      </c>
      <c r="D59" s="383">
        <f>IF(B59=0,0,2*INT((B59-$F$10-IF($F$18=1,0,$F$8))/(2*$F$8)+1))</f>
        <v>0</v>
      </c>
      <c r="E59" s="384">
        <f>IF(F$22=0,0,IF(B59=0,0,2*INT((B59-2*($F$9-$F$8)-$F$10-IF($F$18=1,0,$F$8))/(2*$F$8)+1)+IF($F$18=1,0,1)-IF(C59&gt;F$22,IF($F$18=1,IF(MOD(F$22+1,2)=0,2,0),IF(MOD(F$22+1,2)=0,0,2)),0)))</f>
        <v>0</v>
      </c>
      <c r="F59" s="385">
        <f>IF(F$23=0,0,IF(B59=0,0,2*INT((B59-2*($F$9-$F$8)-$F$10-IF($F$18=1,0,$F$8))/(2*$F$8)+1)-IF(D59&gt;F$23,IF($F$18=1,IF(MOD(F$23+1,2)=0,2,0),IF(MOD(F$23+1,2)=0,0,2)),0)))</f>
        <v>0</v>
      </c>
      <c r="G59" s="375">
        <v>29</v>
      </c>
      <c r="H59" s="376">
        <f>IF(E59&gt;H$25,IF($F$18=1,IF(MOD(H$25,2)=0,H$25,(H$25-1)),IF(MOD(H$25,2)=0,(H$25-1),H$25)),E59)</f>
        <v>0</v>
      </c>
      <c r="I59" s="375">
        <v>29</v>
      </c>
      <c r="J59" s="377">
        <f>IF(F59&gt;J$25,IF($F$18=1,IF(MOD(J$25,2)=0,J$25/2,(J$25-1)/2),IF(MOD(J$25,2)=0,(J$25-2)/2,(J$25-1)/2)),F59/2)</f>
        <v>0</v>
      </c>
      <c r="K59" s="378">
        <f t="shared" si="2"/>
        <v>0.5685</v>
      </c>
      <c r="L59" s="379">
        <f t="shared" si="1"/>
        <v>0</v>
      </c>
      <c r="M59" s="644">
        <f>IF(D59&gt;=M$22,D59-M$22,0)</f>
        <v>0</v>
      </c>
      <c r="O59" s="646"/>
    </row>
    <row r="60" spans="1:15" ht="15" customHeight="1" thickBot="1">
      <c r="A60" s="386">
        <v>30</v>
      </c>
      <c r="B60" s="394">
        <f t="shared" si="0"/>
        <v>0</v>
      </c>
      <c r="C60" s="395">
        <f>IF(B60=0,0,2*INT((B60-$F$10-IF($F$18=1,$F$8,0))/(2*$F$8)+1)+IF($F$18=1,1,0))</f>
        <v>0</v>
      </c>
      <c r="D60" s="396">
        <f>IF(B60=0,0,2*INT((B60-$F$10-IF($F$18=1,$F$8,0))/(2*$F$8)+1))</f>
        <v>0</v>
      </c>
      <c r="E60" s="397">
        <f>IF(F$22=0,0,IF(B60=0,0,2*INT((B60-2*($F$9-$F$8)-$F$10-IF($F$18=1,$F$8,0))/(2*$F$8)+1)+IF($F$18=1,1,0)-IF(C60&gt;F$22,IF($F$18=1,IF(MOD(F$22+1,2)=0,0,2),IF(MOD(F$22+1,2)=0,2,0)),0)))</f>
        <v>0</v>
      </c>
      <c r="F60" s="398">
        <f>IF(F$23=0,0,IF(B60=0,0,2*INT((B60-2*($F$9-$F$8)-$F$10-IF($F$18=1,$F$8,0))/(2*$F$8)+1)-IF(D60&gt;F$23,IF($F$18=1,IF(MOD(F$23+1,2)=0,0,2),IF(MOD(F$23+1,2)=0,2,0)),0)))</f>
        <v>0</v>
      </c>
      <c r="G60" s="399">
        <v>30</v>
      </c>
      <c r="H60" s="400">
        <f>IF(E60&gt;H$25,IF($F$18=1,IF(MOD(H$25,2)=0,(H$25-1),H$25),IF(MOD(H$25,2)=0,H$25,(H$25-1))),E60)</f>
        <v>0</v>
      </c>
      <c r="I60" s="399">
        <v>30</v>
      </c>
      <c r="J60" s="401">
        <f>IF(F60&gt;J$25,IF($F$18=1,IF(MOD(J$25,2)=0,(J$25-2)/2,(J$25-1)/2),IF(MOD(J$25,2)=0,J$25/2,(J$25-1)/2)),F60/2)</f>
        <v>0</v>
      </c>
      <c r="K60" s="402">
        <f t="shared" si="2"/>
        <v>0.588</v>
      </c>
      <c r="L60" s="403">
        <f t="shared" si="1"/>
        <v>0</v>
      </c>
      <c r="M60" s="647">
        <f>IF(D60&gt;=M$23,D60-M$23,0)</f>
        <v>0</v>
      </c>
      <c r="O60" s="646"/>
    </row>
    <row r="61" spans="1:13" ht="15" customHeight="1">
      <c r="A61" s="892" t="s">
        <v>89</v>
      </c>
      <c r="B61" s="737" t="s">
        <v>301</v>
      </c>
      <c r="C61" s="671" t="s">
        <v>333</v>
      </c>
      <c r="D61" s="671" t="s">
        <v>334</v>
      </c>
      <c r="E61" s="671" t="s">
        <v>335</v>
      </c>
      <c r="F61" s="671" t="s">
        <v>336</v>
      </c>
      <c r="G61" s="174" t="s">
        <v>90</v>
      </c>
      <c r="H61" s="671" t="s">
        <v>337</v>
      </c>
      <c r="I61" s="174" t="s">
        <v>90</v>
      </c>
      <c r="J61" s="671" t="s">
        <v>338</v>
      </c>
      <c r="K61" s="738" t="s">
        <v>339</v>
      </c>
      <c r="L61" s="361">
        <f>SUM(L31:L60)</f>
        <v>14.697</v>
      </c>
      <c r="M61" s="735" t="s">
        <v>340</v>
      </c>
    </row>
    <row r="62" spans="1:13" ht="15" customHeight="1">
      <c r="A62" s="672" t="s">
        <v>91</v>
      </c>
      <c r="B62" s="361">
        <f>M8</f>
        <v>0.5</v>
      </c>
      <c r="C62" s="359">
        <f>2*SUM(C31:C60)</f>
        <v>310</v>
      </c>
      <c r="D62" s="360">
        <f>2*SUM(D31:D60)</f>
        <v>300</v>
      </c>
      <c r="E62" s="361">
        <f>2*SUM(E31:E60)</f>
        <v>282</v>
      </c>
      <c r="F62" s="404">
        <f>2*SUM(F31:F60)</f>
        <v>276</v>
      </c>
      <c r="G62" s="405" t="s">
        <v>92</v>
      </c>
      <c r="H62" s="384">
        <f>IF(H63=0,0,(E62/2-H63)/2)</f>
        <v>46</v>
      </c>
      <c r="I62" s="405" t="s">
        <v>93</v>
      </c>
      <c r="J62" s="406">
        <f>IF(J63=0,0,(F62/2-2*J63)/2)</f>
        <v>36</v>
      </c>
      <c r="K62" s="736" t="s">
        <v>300</v>
      </c>
      <c r="L62" s="407">
        <f>M11*PI()^2*L61</f>
        <v>2.610964365890585</v>
      </c>
      <c r="M62" s="648">
        <f>SUM(M31:M60)</f>
        <v>50</v>
      </c>
    </row>
    <row r="63" spans="1:10" ht="15" customHeight="1">
      <c r="A63" s="408"/>
      <c r="C63" s="894" t="s">
        <v>761</v>
      </c>
      <c r="D63" s="166"/>
      <c r="E63" s="170"/>
      <c r="F63" s="167"/>
      <c r="G63" s="409" t="s">
        <v>94</v>
      </c>
      <c r="H63" s="390">
        <f>SUM(H31:H60)</f>
        <v>49</v>
      </c>
      <c r="I63" s="409" t="s">
        <v>95</v>
      </c>
      <c r="J63" s="410">
        <f>SUM(J31:J60)</f>
        <v>33</v>
      </c>
    </row>
    <row r="64" spans="1:11" ht="15" customHeight="1">
      <c r="A64" s="193"/>
      <c r="F64" s="411"/>
      <c r="H64" s="412"/>
      <c r="J64" s="411"/>
      <c r="K64" s="411"/>
    </row>
    <row r="65" spans="2:3" ht="15" customHeight="1">
      <c r="B65" s="673"/>
      <c r="C65" s="196"/>
    </row>
    <row r="66" spans="2:11" ht="15" customHeight="1">
      <c r="B66" s="196"/>
      <c r="C66" s="674"/>
      <c r="I66" s="649"/>
      <c r="J66" s="196"/>
      <c r="K66" s="650"/>
    </row>
    <row r="67" spans="9:12" ht="15" customHeight="1">
      <c r="I67" s="649"/>
      <c r="J67" s="196"/>
      <c r="K67" s="675"/>
      <c r="L67" s="411"/>
    </row>
    <row r="68" spans="9:12" ht="15" customHeight="1">
      <c r="I68" s="651"/>
      <c r="J68" s="640"/>
      <c r="K68" s="675"/>
      <c r="L68" s="675"/>
    </row>
    <row r="69" spans="9:11" ht="15" customHeight="1">
      <c r="I69" s="651"/>
      <c r="J69" s="640"/>
      <c r="K69" s="651"/>
    </row>
    <row r="70" spans="1:11" ht="12.75">
      <c r="A70" s="793"/>
      <c r="I70" s="651"/>
      <c r="J70" s="640"/>
      <c r="K70" s="652"/>
    </row>
    <row r="71" spans="1:11" ht="12.75">
      <c r="A71" s="793"/>
      <c r="I71" s="653"/>
      <c r="J71" s="196"/>
      <c r="K71" s="652"/>
    </row>
    <row r="74" ht="12.75">
      <c r="A74" s="793"/>
    </row>
  </sheetData>
  <sheetProtection password="C784" sheet="1" objects="1" scenarios="1"/>
  <dataValidations count="12">
    <dataValidation allowBlank="1" showInputMessage="1" showErrorMessage="1" promptTitle="DEBLJINA ZIDA CEVI REGISTRA" prompt="Obavezan podatak" sqref="M12"/>
    <dataValidation allowBlank="1" showInputMessage="1" showErrorMessage="1" promptTitle="BROJ PRVOG REDA OKNA" prompt="Izracunati broj definise  Ho/Du  ~ 25%" sqref="M18"/>
    <dataValidation allowBlank="1" showInputMessage="1" showErrorMessage="1" promptTitle="PREGRADA zr=6" prompt="Uneti broj reda cevi tako da odnos otvora u SEKCIJAMA bude priblizno isti (100%) POLJE H26" sqref="F22"/>
    <dataValidation allowBlank="1" showInputMessage="1" showErrorMessage="1" promptTitle="SPOLJNJI PRECNIK PLASTA" prompt="Uneti precnik ROLOVANOG plasta ili precnika CEVI" sqref="M8"/>
    <dataValidation allowBlank="1" showInputMessage="1" showErrorMessage="1" promptTitle="DEBLJINA ZIDA PLASTA" prompt="Uneti predpostavljenu debljinu zida plasta ili debljinu zida cevi" sqref="M9"/>
    <dataValidation type="list" allowBlank="1" showInputMessage="1" showErrorMessage="1" promptTitle="TIP RASPOREDA OTVORA U PLOCI" prompt="1 sahovski raspored, prvi otvor 11&#10;2 sahovski raspored, prvi otvor 12 ili 21" sqref="F18">
      <formula1>"1,2"</formula1>
    </dataValidation>
    <dataValidation type="list" allowBlank="1" showInputMessage="1" showErrorMessage="1" promptTitle="SPOLJNJI PRECNIK CEVI" prompt="Uneti precnik cevi iz menija" sqref="M11">
      <formula1>"0,01,0,016,0,018,0,022,0,025"</formula1>
    </dataValidation>
    <dataValidation type="list" allowBlank="1" showInputMessage="1" showErrorMessage="1" promptTitle="BROJ PROLAZA FLUIDA U REGISTRU" prompt="Uneti vrednost iz menija" sqref="F16">
      <formula1>"2,4,6,8"</formula1>
    </dataValidation>
    <dataValidation type="list" allowBlank="1" showInputMessage="1" showErrorMessage="1" promptTitle="BROJ PROLAZA FLUIDA U OMOTACU" prompt="Uneti vrednost iz menija" sqref="F17">
      <formula1>"1,2,4"</formula1>
    </dataValidation>
    <dataValidation allowBlank="1" showInputMessage="1" showErrorMessage="1" promptTitle="KORACI MREZNOG RASPOREDA" prompt="Nijedan korak ne moze biti manji od poluprecnika otvora u cevnoj ploci" sqref="F8:F12"/>
    <dataValidation allowBlank="1" showInputMessage="1" showErrorMessage="1" promptTitle="ZADAT MINIMALNI ZAZOR" prompt="Neobavezan podatak" sqref="M14"/>
    <dataValidation allowBlank="1" showInputMessage="1" showErrorMessage="1" promptTitle="PREGRADA zr=8" prompt="Uneti broj reda cevi tako da odnos otvora u SEKCIJAMA bude priblizno isti (100%)  POLJE J26" sqref="F23"/>
  </dataValidations>
  <printOptions/>
  <pageMargins left="0.75" right="0.25" top="0.6" bottom="0.2" header="0.5" footer="0.5"/>
  <pageSetup horizontalDpi="600" verticalDpi="600" orientation="portrait" paperSize="9" scale="8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54"/>
  <sheetViews>
    <sheetView showGridLines="0" workbookViewId="0" topLeftCell="A1">
      <selection activeCell="C15" sqref="C15"/>
    </sheetView>
  </sheetViews>
  <sheetFormatPr defaultColWidth="9.140625" defaultRowHeight="12.75"/>
  <cols>
    <col min="1" max="9" width="12.7109375" style="0" customWidth="1"/>
  </cols>
  <sheetData>
    <row r="1" spans="1:9" ht="12.75">
      <c r="A1" s="163"/>
      <c r="B1" s="163"/>
      <c r="C1" s="163"/>
      <c r="D1" s="163"/>
      <c r="E1" s="163"/>
      <c r="F1" s="163"/>
      <c r="G1" s="163"/>
      <c r="H1" s="163"/>
      <c r="I1" s="659" t="str">
        <f>GEOMETRIJA!M1</f>
        <v>ver.: v2, jun 2002.</v>
      </c>
    </row>
    <row r="2" spans="1:9" ht="12.75">
      <c r="A2" s="163"/>
      <c r="B2" s="163"/>
      <c r="C2" s="163"/>
      <c r="D2" s="163"/>
      <c r="E2" s="163"/>
      <c r="F2" s="163"/>
      <c r="G2" s="163"/>
      <c r="H2" s="163"/>
      <c r="I2" s="163"/>
    </row>
    <row r="3" spans="1:9" ht="12.75">
      <c r="A3" s="163"/>
      <c r="B3" s="163"/>
      <c r="C3" s="163"/>
      <c r="D3" s="163"/>
      <c r="E3" s="163"/>
      <c r="F3" s="163"/>
      <c r="G3" s="163"/>
      <c r="H3" s="163"/>
      <c r="I3" s="163"/>
    </row>
    <row r="4" spans="1:9" ht="12.75">
      <c r="A4" s="163"/>
      <c r="B4" s="163"/>
      <c r="C4" s="163"/>
      <c r="D4" s="163"/>
      <c r="E4" s="163"/>
      <c r="F4" s="163"/>
      <c r="G4" s="163"/>
      <c r="H4" s="163"/>
      <c r="I4" s="163"/>
    </row>
    <row r="5" spans="1:9" ht="12.75">
      <c r="A5" s="163"/>
      <c r="B5" s="163"/>
      <c r="C5" s="163"/>
      <c r="D5" s="163"/>
      <c r="E5" s="163"/>
      <c r="F5" s="163"/>
      <c r="G5" s="163"/>
      <c r="H5" s="163"/>
      <c r="I5" s="163"/>
    </row>
    <row r="6" spans="1:9" ht="12.75">
      <c r="A6" s="163"/>
      <c r="B6" s="163"/>
      <c r="C6" s="163"/>
      <c r="D6" s="163"/>
      <c r="E6" s="163"/>
      <c r="F6" s="163"/>
      <c r="G6" s="163"/>
      <c r="H6" s="163"/>
      <c r="I6" s="163"/>
    </row>
    <row r="7" spans="1:9" ht="14.25">
      <c r="A7" s="163"/>
      <c r="B7" s="182" t="s">
        <v>278</v>
      </c>
      <c r="C7" s="182" t="s">
        <v>989</v>
      </c>
      <c r="D7" s="182"/>
      <c r="E7" s="163"/>
      <c r="F7" s="163"/>
      <c r="G7" s="163"/>
      <c r="H7" s="163"/>
      <c r="I7" s="163"/>
    </row>
    <row r="8" spans="1:9" ht="14.25">
      <c r="A8" s="163"/>
      <c r="B8" s="182" t="s">
        <v>279</v>
      </c>
      <c r="C8" s="182" t="s">
        <v>990</v>
      </c>
      <c r="D8" s="182"/>
      <c r="E8" s="163"/>
      <c r="G8" s="163"/>
      <c r="H8" s="163"/>
      <c r="I8" s="163"/>
    </row>
    <row r="9" spans="1:9" ht="14.25">
      <c r="A9" s="163"/>
      <c r="B9" s="182"/>
      <c r="C9" s="182" t="s">
        <v>798</v>
      </c>
      <c r="D9" s="655" t="s">
        <v>795</v>
      </c>
      <c r="E9" s="163"/>
      <c r="F9" s="655" t="s">
        <v>796</v>
      </c>
      <c r="G9" s="163"/>
      <c r="H9" s="655" t="s">
        <v>797</v>
      </c>
      <c r="I9" s="163"/>
    </row>
    <row r="10" spans="1:9" ht="14.25">
      <c r="A10" s="163"/>
      <c r="B10" s="182" t="s">
        <v>277</v>
      </c>
      <c r="C10" s="182" t="s">
        <v>991</v>
      </c>
      <c r="D10" s="182"/>
      <c r="E10" s="163"/>
      <c r="F10" s="163"/>
      <c r="G10" s="163"/>
      <c r="H10" s="163"/>
      <c r="I10" s="163"/>
    </row>
    <row r="11" spans="1:9" ht="14.25">
      <c r="A11" s="163"/>
      <c r="B11" s="182"/>
      <c r="C11" s="182" t="s">
        <v>992</v>
      </c>
      <c r="D11" s="182"/>
      <c r="E11" s="163"/>
      <c r="F11" s="163"/>
      <c r="G11" s="163"/>
      <c r="H11" s="163"/>
      <c r="I11" s="163"/>
    </row>
    <row r="12" spans="1:9" ht="14.25">
      <c r="A12" s="163"/>
      <c r="B12" s="182"/>
      <c r="C12" s="182" t="s">
        <v>993</v>
      </c>
      <c r="D12" s="182"/>
      <c r="E12" s="163"/>
      <c r="F12" s="163"/>
      <c r="G12" s="163"/>
      <c r="H12" s="163"/>
      <c r="I12" s="163"/>
    </row>
    <row r="13" spans="1:7" ht="14.25">
      <c r="A13" s="163"/>
      <c r="B13" s="182" t="s">
        <v>280</v>
      </c>
      <c r="C13" s="182" t="s">
        <v>994</v>
      </c>
      <c r="D13" s="182"/>
      <c r="E13" s="163"/>
      <c r="F13" s="163"/>
      <c r="G13" s="163"/>
    </row>
    <row r="14" spans="1:9" ht="14.25">
      <c r="A14" s="163"/>
      <c r="B14" s="182"/>
      <c r="C14" s="182" t="s">
        <v>995</v>
      </c>
      <c r="D14" s="182"/>
      <c r="E14" s="163"/>
      <c r="F14" s="163"/>
      <c r="G14" s="163"/>
      <c r="H14" s="163"/>
      <c r="I14" s="163"/>
    </row>
    <row r="15" spans="1:9" ht="14.25">
      <c r="A15" s="163"/>
      <c r="B15" s="182"/>
      <c r="C15" s="182" t="s">
        <v>996</v>
      </c>
      <c r="D15" s="182"/>
      <c r="E15" s="163"/>
      <c r="F15" s="163"/>
      <c r="G15" s="163"/>
      <c r="H15" s="163"/>
      <c r="I15" s="163"/>
    </row>
    <row r="16" spans="1:9" ht="14.25">
      <c r="A16" s="163"/>
      <c r="B16" s="182"/>
      <c r="C16" s="182" t="s">
        <v>997</v>
      </c>
      <c r="D16" s="182"/>
      <c r="E16" s="163"/>
      <c r="F16" s="163"/>
      <c r="G16" s="163"/>
      <c r="H16" s="931"/>
      <c r="I16" s="163"/>
    </row>
    <row r="17" spans="1:9" ht="14.25">
      <c r="A17" s="163"/>
      <c r="B17" s="182"/>
      <c r="C17" s="182" t="s">
        <v>800</v>
      </c>
      <c r="D17" s="182"/>
      <c r="E17" s="163"/>
      <c r="F17" s="163"/>
      <c r="G17" s="163"/>
      <c r="H17" s="655" t="s">
        <v>799</v>
      </c>
      <c r="I17" s="163"/>
    </row>
    <row r="18" spans="1:9" ht="14.25">
      <c r="A18" s="163"/>
      <c r="B18" s="182" t="s">
        <v>281</v>
      </c>
      <c r="C18" s="618" t="s">
        <v>284</v>
      </c>
      <c r="D18" s="182"/>
      <c r="E18" s="618" t="s">
        <v>998</v>
      </c>
      <c r="F18" s="163"/>
      <c r="G18" s="163"/>
      <c r="H18" s="655" t="s">
        <v>799</v>
      </c>
      <c r="I18" s="163"/>
    </row>
    <row r="19" spans="1:9" ht="14.25">
      <c r="A19" s="163"/>
      <c r="B19" s="182" t="s">
        <v>282</v>
      </c>
      <c r="C19" s="618" t="s">
        <v>999</v>
      </c>
      <c r="D19" s="182"/>
      <c r="E19" s="163"/>
      <c r="F19" s="163"/>
      <c r="G19" s="163"/>
      <c r="H19" s="163"/>
      <c r="I19" s="163"/>
    </row>
    <row r="20" spans="1:9" ht="14.25">
      <c r="A20" s="163"/>
      <c r="B20" s="182"/>
      <c r="C20" s="182" t="s">
        <v>283</v>
      </c>
      <c r="D20" s="182"/>
      <c r="E20" s="163"/>
      <c r="F20" s="163"/>
      <c r="G20" s="163"/>
      <c r="H20" s="163"/>
      <c r="I20" s="163"/>
    </row>
    <row r="21" spans="1:9" ht="14.25">
      <c r="A21" s="163"/>
      <c r="B21" s="182"/>
      <c r="C21" s="182"/>
      <c r="D21" s="182"/>
      <c r="E21" s="163"/>
      <c r="F21" s="163"/>
      <c r="G21" s="163"/>
      <c r="H21" s="163"/>
      <c r="I21" s="163"/>
    </row>
    <row r="22" spans="1:9" ht="12.75">
      <c r="A22" s="163"/>
      <c r="B22" s="163"/>
      <c r="C22" s="163"/>
      <c r="D22" s="163"/>
      <c r="E22" s="163"/>
      <c r="F22" s="163"/>
      <c r="G22" s="163"/>
      <c r="H22" s="163"/>
      <c r="I22" s="163"/>
    </row>
    <row r="23" spans="1:9" ht="12.75">
      <c r="A23" s="163"/>
      <c r="B23" s="163"/>
      <c r="C23" s="163"/>
      <c r="D23" s="163"/>
      <c r="E23" s="163"/>
      <c r="F23" s="163"/>
      <c r="G23" s="163"/>
      <c r="H23" s="163"/>
      <c r="I23" s="163"/>
    </row>
    <row r="24" spans="1:9" ht="12.75">
      <c r="A24" s="163"/>
      <c r="B24" s="163"/>
      <c r="C24" s="163"/>
      <c r="D24" s="163"/>
      <c r="E24" s="163"/>
      <c r="F24" s="163"/>
      <c r="G24" s="163"/>
      <c r="H24" s="163"/>
      <c r="I24" s="163"/>
    </row>
    <row r="25" spans="1:9" ht="12.75">
      <c r="A25" s="163"/>
      <c r="B25" s="163"/>
      <c r="C25" s="163"/>
      <c r="D25" s="163"/>
      <c r="E25" s="163"/>
      <c r="F25" s="163"/>
      <c r="G25" s="163"/>
      <c r="H25" s="163"/>
      <c r="I25" s="163"/>
    </row>
    <row r="26" spans="1:9" ht="12.75">
      <c r="A26" s="163"/>
      <c r="B26" s="163"/>
      <c r="C26" s="163"/>
      <c r="D26" s="163"/>
      <c r="E26" s="163"/>
      <c r="F26" s="163"/>
      <c r="G26" s="163"/>
      <c r="H26" s="163"/>
      <c r="I26" s="163"/>
    </row>
    <row r="27" spans="1:9" ht="12.75">
      <c r="A27" s="163"/>
      <c r="B27" s="163"/>
      <c r="C27" s="163"/>
      <c r="D27" s="163"/>
      <c r="E27" s="163"/>
      <c r="F27" s="163"/>
      <c r="G27" s="163"/>
      <c r="H27" s="163"/>
      <c r="I27" s="163"/>
    </row>
    <row r="28" spans="1:9" ht="12.75">
      <c r="A28" s="163"/>
      <c r="B28" s="163"/>
      <c r="C28" s="163"/>
      <c r="D28" s="163"/>
      <c r="E28" s="163"/>
      <c r="F28" s="163"/>
      <c r="G28" s="163"/>
      <c r="H28" s="163"/>
      <c r="I28" s="163"/>
    </row>
    <row r="29" spans="1:9" ht="12.75">
      <c r="A29" s="163"/>
      <c r="B29" s="163"/>
      <c r="C29" s="163"/>
      <c r="D29" s="163"/>
      <c r="E29" s="163"/>
      <c r="F29" s="163"/>
      <c r="G29" s="163"/>
      <c r="H29" s="163"/>
      <c r="I29" s="163"/>
    </row>
    <row r="30" spans="1:9" ht="12.75">
      <c r="A30" s="163"/>
      <c r="B30" s="163"/>
      <c r="C30" s="163"/>
      <c r="D30" s="163"/>
      <c r="E30" s="163"/>
      <c r="F30" s="163"/>
      <c r="G30" s="163"/>
      <c r="H30" s="163"/>
      <c r="I30" s="163"/>
    </row>
    <row r="31" spans="1:9" ht="12.75">
      <c r="A31" s="163"/>
      <c r="B31" s="163"/>
      <c r="C31" s="163"/>
      <c r="D31" s="163"/>
      <c r="E31" s="163"/>
      <c r="F31" s="163"/>
      <c r="G31" s="163"/>
      <c r="H31" s="163"/>
      <c r="I31" s="163"/>
    </row>
    <row r="32" spans="1:9" ht="12.75">
      <c r="A32" s="163"/>
      <c r="B32" s="163"/>
      <c r="C32" s="163"/>
      <c r="D32" s="163"/>
      <c r="E32" s="163"/>
      <c r="F32" s="163"/>
      <c r="G32" s="163"/>
      <c r="H32" s="163"/>
      <c r="I32" s="163"/>
    </row>
    <row r="33" spans="1:9" ht="12.75">
      <c r="A33" s="163"/>
      <c r="B33" s="163"/>
      <c r="C33" s="163"/>
      <c r="D33" s="163"/>
      <c r="E33" s="163"/>
      <c r="F33" s="163"/>
      <c r="G33" s="163"/>
      <c r="H33" s="163"/>
      <c r="I33" s="163"/>
    </row>
    <row r="34" spans="1:9" ht="12.75">
      <c r="A34" s="163"/>
      <c r="B34" s="163"/>
      <c r="C34" s="163"/>
      <c r="D34" s="163"/>
      <c r="E34" s="163"/>
      <c r="F34" s="163"/>
      <c r="G34" s="163"/>
      <c r="H34" s="163"/>
      <c r="I34" s="163"/>
    </row>
    <row r="35" spans="1:9" ht="12.75">
      <c r="A35" s="163"/>
      <c r="B35" s="163"/>
      <c r="C35" s="163"/>
      <c r="D35" s="163"/>
      <c r="E35" s="163"/>
      <c r="F35" s="163"/>
      <c r="G35" s="163"/>
      <c r="H35" s="163"/>
      <c r="I35" s="163"/>
    </row>
    <row r="36" spans="1:9" ht="12.75">
      <c r="A36" s="163"/>
      <c r="B36" s="163"/>
      <c r="C36" s="163"/>
      <c r="D36" s="163"/>
      <c r="E36" s="163"/>
      <c r="F36" s="163"/>
      <c r="G36" s="163"/>
      <c r="H36" s="163"/>
      <c r="I36" s="163"/>
    </row>
    <row r="37" spans="1:9" ht="12.75">
      <c r="A37" s="163"/>
      <c r="B37" s="163"/>
      <c r="C37" s="163"/>
      <c r="D37" s="163"/>
      <c r="E37" s="163"/>
      <c r="F37" s="163"/>
      <c r="G37" s="163"/>
      <c r="H37" s="163"/>
      <c r="I37" s="163"/>
    </row>
    <row r="38" spans="1:9" ht="12.75">
      <c r="A38" s="163"/>
      <c r="B38" s="163"/>
      <c r="C38" s="163"/>
      <c r="D38" s="163"/>
      <c r="E38" s="163"/>
      <c r="F38" s="163"/>
      <c r="G38" s="163"/>
      <c r="H38" s="163"/>
      <c r="I38" s="163"/>
    </row>
    <row r="39" spans="1:9" ht="12.75">
      <c r="A39" s="163"/>
      <c r="B39" s="163"/>
      <c r="C39" s="163"/>
      <c r="D39" s="163"/>
      <c r="E39" s="163"/>
      <c r="F39" s="163"/>
      <c r="G39" s="163"/>
      <c r="H39" s="163"/>
      <c r="I39" s="163"/>
    </row>
    <row r="40" spans="1:9" ht="12.75">
      <c r="A40" s="163"/>
      <c r="B40" s="163"/>
      <c r="C40" s="163"/>
      <c r="D40" s="163"/>
      <c r="E40" s="163"/>
      <c r="F40" s="163"/>
      <c r="G40" s="163"/>
      <c r="H40" s="163"/>
      <c r="I40" s="163"/>
    </row>
    <row r="41" spans="1:9" ht="12.75">
      <c r="A41" s="163"/>
      <c r="B41" s="163"/>
      <c r="C41" s="163"/>
      <c r="D41" s="163"/>
      <c r="E41" s="163"/>
      <c r="F41" s="163"/>
      <c r="G41" s="163"/>
      <c r="H41" s="163"/>
      <c r="I41" s="163"/>
    </row>
    <row r="42" spans="1:9" ht="12.75">
      <c r="A42" s="163"/>
      <c r="B42" s="163"/>
      <c r="C42" s="163"/>
      <c r="D42" s="163"/>
      <c r="E42" s="163"/>
      <c r="F42" s="163"/>
      <c r="G42" s="163"/>
      <c r="H42" s="163"/>
      <c r="I42" s="163"/>
    </row>
    <row r="43" spans="1:9" ht="18">
      <c r="A43" s="163"/>
      <c r="B43" s="1131" t="s">
        <v>1000</v>
      </c>
      <c r="C43" s="163"/>
      <c r="D43" s="163"/>
      <c r="E43" s="163"/>
      <c r="F43" s="163"/>
      <c r="G43" s="163"/>
      <c r="H43" s="163"/>
      <c r="I43" s="163"/>
    </row>
    <row r="44" spans="1:9" ht="12.75">
      <c r="A44" s="163"/>
      <c r="B44" s="163"/>
      <c r="C44" s="163"/>
      <c r="D44" s="163"/>
      <c r="E44" s="163"/>
      <c r="F44" s="163"/>
      <c r="G44" s="163"/>
      <c r="H44" s="163"/>
      <c r="I44" s="163"/>
    </row>
    <row r="45" spans="1:9" ht="12.75">
      <c r="A45" s="163"/>
      <c r="B45" s="163"/>
      <c r="C45" s="163"/>
      <c r="D45" s="163"/>
      <c r="E45" s="163"/>
      <c r="F45" s="163"/>
      <c r="G45" s="163"/>
      <c r="H45" s="163"/>
      <c r="I45" s="163"/>
    </row>
    <row r="46" spans="1:9" ht="12.75">
      <c r="A46" s="163"/>
      <c r="B46" s="163"/>
      <c r="C46" s="163"/>
      <c r="D46" s="163"/>
      <c r="E46" s="163"/>
      <c r="F46" s="163"/>
      <c r="G46" s="163"/>
      <c r="H46" s="163"/>
      <c r="I46" s="163"/>
    </row>
    <row r="47" spans="1:9" ht="12.75">
      <c r="A47" s="163"/>
      <c r="B47" s="163"/>
      <c r="C47" s="163"/>
      <c r="D47" s="163"/>
      <c r="E47" s="163"/>
      <c r="F47" s="163"/>
      <c r="G47" s="163"/>
      <c r="H47" s="163"/>
      <c r="I47" s="163"/>
    </row>
    <row r="48" spans="1:9" ht="12.75">
      <c r="A48" s="163"/>
      <c r="B48" s="163"/>
      <c r="C48" s="163"/>
      <c r="D48" s="163"/>
      <c r="E48" s="163"/>
      <c r="F48" s="163"/>
      <c r="G48" s="163"/>
      <c r="H48" s="163"/>
      <c r="I48" s="163"/>
    </row>
    <row r="49" spans="1:9" ht="12.75">
      <c r="A49" s="163"/>
      <c r="B49" s="163"/>
      <c r="C49" s="163"/>
      <c r="D49" s="163"/>
      <c r="E49" s="163"/>
      <c r="F49" s="163"/>
      <c r="G49" s="163"/>
      <c r="H49" s="163"/>
      <c r="I49" s="163"/>
    </row>
    <row r="50" spans="1:9" ht="12.75">
      <c r="A50" s="163"/>
      <c r="B50" s="163"/>
      <c r="C50" s="163"/>
      <c r="D50" s="163"/>
      <c r="E50" s="163"/>
      <c r="F50" s="163"/>
      <c r="G50" s="163"/>
      <c r="H50" s="163"/>
      <c r="I50" s="163"/>
    </row>
    <row r="51" spans="1:9" ht="12.75">
      <c r="A51" s="163"/>
      <c r="B51" s="163"/>
      <c r="C51" s="163"/>
      <c r="D51" s="163"/>
      <c r="E51" s="163"/>
      <c r="F51" s="163"/>
      <c r="G51" s="163"/>
      <c r="H51" s="163"/>
      <c r="I51" s="163"/>
    </row>
    <row r="52" spans="1:9" ht="12.75">
      <c r="A52" s="163"/>
      <c r="B52" s="163"/>
      <c r="C52" s="163"/>
      <c r="D52" s="163"/>
      <c r="E52" s="163"/>
      <c r="F52" s="163"/>
      <c r="G52" s="163"/>
      <c r="H52" s="163"/>
      <c r="I52" s="163"/>
    </row>
    <row r="53" spans="1:9" ht="12.75">
      <c r="A53" s="163"/>
      <c r="B53" s="163"/>
      <c r="C53" s="163"/>
      <c r="D53" s="163"/>
      <c r="E53" s="163"/>
      <c r="F53" s="163"/>
      <c r="G53" s="163"/>
      <c r="H53" s="163"/>
      <c r="I53" s="163"/>
    </row>
    <row r="54" spans="1:9" ht="12.75">
      <c r="A54" s="163"/>
      <c r="B54" s="163"/>
      <c r="C54" s="163"/>
      <c r="D54" s="163"/>
      <c r="E54" s="163"/>
      <c r="F54" s="163"/>
      <c r="G54" s="163"/>
      <c r="H54" s="163"/>
      <c r="I54" s="163"/>
    </row>
    <row r="55" spans="1:9" ht="12.75">
      <c r="A55" s="163"/>
      <c r="B55" s="163"/>
      <c r="C55" s="163"/>
      <c r="D55" s="163"/>
      <c r="E55" s="163"/>
      <c r="F55" s="163"/>
      <c r="G55" s="163"/>
      <c r="H55" s="163"/>
      <c r="I55" s="163"/>
    </row>
    <row r="56" spans="1:9" ht="12.75">
      <c r="A56" s="163"/>
      <c r="B56" s="163"/>
      <c r="C56" s="163"/>
      <c r="D56" s="163"/>
      <c r="E56" s="163"/>
      <c r="F56" s="163"/>
      <c r="G56" s="163"/>
      <c r="H56" s="163"/>
      <c r="I56" s="163"/>
    </row>
    <row r="57" spans="1:9" ht="12.75">
      <c r="A57" s="163"/>
      <c r="B57" s="163"/>
      <c r="C57" s="163"/>
      <c r="D57" s="163"/>
      <c r="E57" s="163"/>
      <c r="F57" s="163"/>
      <c r="G57" s="163"/>
      <c r="H57" s="163"/>
      <c r="I57" s="163"/>
    </row>
    <row r="58" spans="1:9" ht="12.75">
      <c r="A58" s="163"/>
      <c r="B58" s="163"/>
      <c r="C58" s="163"/>
      <c r="D58" s="163"/>
      <c r="E58" s="163"/>
      <c r="F58" s="163"/>
      <c r="G58" s="163"/>
      <c r="H58" s="163"/>
      <c r="I58" s="163"/>
    </row>
    <row r="59" spans="1:9" ht="12.75">
      <c r="A59" s="163"/>
      <c r="B59" s="163"/>
      <c r="C59" s="163"/>
      <c r="D59" s="163"/>
      <c r="E59" s="163"/>
      <c r="F59" s="163"/>
      <c r="G59" s="163"/>
      <c r="H59" s="163"/>
      <c r="I59" s="163"/>
    </row>
    <row r="60" spans="1:9" ht="12.75">
      <c r="A60" s="163"/>
      <c r="B60" s="163"/>
      <c r="C60" s="163"/>
      <c r="D60" s="163"/>
      <c r="E60" s="163"/>
      <c r="F60" s="163"/>
      <c r="G60" s="163"/>
      <c r="H60" s="163"/>
      <c r="I60" s="163"/>
    </row>
    <row r="61" spans="1:9" ht="12.75">
      <c r="A61" s="163"/>
      <c r="B61" s="163"/>
      <c r="C61" s="163"/>
      <c r="D61" s="163"/>
      <c r="E61" s="163"/>
      <c r="F61" s="163"/>
      <c r="G61" s="163"/>
      <c r="H61" s="163"/>
      <c r="I61" s="163"/>
    </row>
    <row r="62" spans="1:9" ht="12.75">
      <c r="A62" s="163"/>
      <c r="B62" s="163"/>
      <c r="C62" s="163"/>
      <c r="D62" s="163"/>
      <c r="E62" s="163"/>
      <c r="F62" s="163"/>
      <c r="G62" s="163"/>
      <c r="H62" s="163"/>
      <c r="I62" s="163"/>
    </row>
    <row r="63" spans="1:9" ht="12.75">
      <c r="A63" s="163"/>
      <c r="B63" s="163"/>
      <c r="C63" s="163"/>
      <c r="D63" s="163"/>
      <c r="E63" s="163"/>
      <c r="F63" s="163"/>
      <c r="G63" s="163"/>
      <c r="H63" s="163"/>
      <c r="I63" s="163"/>
    </row>
    <row r="64" spans="1:9" ht="12.75">
      <c r="A64" s="163"/>
      <c r="B64" s="163"/>
      <c r="C64" s="163"/>
      <c r="D64" s="163"/>
      <c r="E64" s="163"/>
      <c r="F64" s="163"/>
      <c r="G64" s="163"/>
      <c r="H64" s="163"/>
      <c r="I64" s="163"/>
    </row>
    <row r="65" spans="1:9" ht="12.75">
      <c r="A65" s="163"/>
      <c r="B65" s="163"/>
      <c r="C65" s="163"/>
      <c r="D65" s="163"/>
      <c r="E65" s="163"/>
      <c r="F65" s="163"/>
      <c r="G65" s="163"/>
      <c r="H65" s="163"/>
      <c r="I65" s="163"/>
    </row>
    <row r="66" spans="1:9" ht="12.75">
      <c r="A66" s="163"/>
      <c r="B66" s="163"/>
      <c r="C66" s="163"/>
      <c r="D66" s="163"/>
      <c r="E66" s="163"/>
      <c r="F66" s="163"/>
      <c r="G66" s="163"/>
      <c r="H66" s="163"/>
      <c r="I66" s="163"/>
    </row>
    <row r="67" spans="1:9" ht="12.75">
      <c r="A67" s="163"/>
      <c r="B67" s="163"/>
      <c r="C67" s="163"/>
      <c r="D67" s="163"/>
      <c r="E67" s="163"/>
      <c r="F67" s="163"/>
      <c r="G67" s="163"/>
      <c r="H67" s="163"/>
      <c r="I67" s="163"/>
    </row>
    <row r="68" spans="1:9" ht="12.75">
      <c r="A68" s="163"/>
      <c r="B68" s="163"/>
      <c r="C68" s="163"/>
      <c r="D68" s="163"/>
      <c r="E68" s="163"/>
      <c r="F68" s="163"/>
      <c r="G68" s="163"/>
      <c r="H68" s="163"/>
      <c r="I68" s="163"/>
    </row>
    <row r="69" spans="1:9" ht="12.75">
      <c r="A69" s="163"/>
      <c r="B69" s="163"/>
      <c r="C69" s="163"/>
      <c r="D69" s="163"/>
      <c r="E69" s="163"/>
      <c r="F69" s="163"/>
      <c r="G69" s="163"/>
      <c r="H69" s="163"/>
      <c r="I69" s="163"/>
    </row>
    <row r="70" spans="1:9" ht="12.75">
      <c r="A70" s="163"/>
      <c r="B70" s="163"/>
      <c r="C70" s="163"/>
      <c r="D70" s="163"/>
      <c r="E70" s="163"/>
      <c r="F70" s="163"/>
      <c r="G70" s="163"/>
      <c r="H70" s="163"/>
      <c r="I70" s="163"/>
    </row>
    <row r="71" spans="1:9" ht="12.75">
      <c r="A71" s="163"/>
      <c r="B71" s="163"/>
      <c r="C71" s="163"/>
      <c r="D71" s="163"/>
      <c r="E71" s="163"/>
      <c r="F71" s="163"/>
      <c r="G71" s="163"/>
      <c r="H71" s="163"/>
      <c r="I71" s="163"/>
    </row>
    <row r="72" spans="1:9" ht="12.75">
      <c r="A72" s="163"/>
      <c r="B72" s="163"/>
      <c r="C72" s="163"/>
      <c r="D72" s="163"/>
      <c r="E72" s="163"/>
      <c r="F72" s="163"/>
      <c r="G72" s="163"/>
      <c r="H72" s="163"/>
      <c r="I72" s="163"/>
    </row>
    <row r="73" spans="1:9" ht="12.75">
      <c r="A73" s="163"/>
      <c r="B73" s="163"/>
      <c r="C73" s="163"/>
      <c r="D73" s="163"/>
      <c r="E73" s="163"/>
      <c r="F73" s="163"/>
      <c r="G73" s="163"/>
      <c r="H73" s="163"/>
      <c r="I73" s="163"/>
    </row>
    <row r="74" spans="1:9" ht="12.75">
      <c r="A74" s="163"/>
      <c r="B74" s="163"/>
      <c r="C74" s="163"/>
      <c r="D74" s="163"/>
      <c r="E74" s="163"/>
      <c r="F74" s="163"/>
      <c r="G74" s="163"/>
      <c r="H74" s="163"/>
      <c r="I74" s="163"/>
    </row>
    <row r="75" spans="1:9" ht="12.75">
      <c r="A75" s="163"/>
      <c r="B75" s="163"/>
      <c r="C75" s="163"/>
      <c r="D75" s="163"/>
      <c r="E75" s="163"/>
      <c r="F75" s="163"/>
      <c r="G75" s="163"/>
      <c r="H75" s="163"/>
      <c r="I75" s="163"/>
    </row>
    <row r="76" spans="1:9" ht="12.75">
      <c r="A76" s="163"/>
      <c r="B76" s="163"/>
      <c r="C76" s="163"/>
      <c r="D76" s="163"/>
      <c r="E76" s="163"/>
      <c r="F76" s="163"/>
      <c r="G76" s="163"/>
      <c r="H76" s="163"/>
      <c r="I76" s="163"/>
    </row>
    <row r="77" spans="1:9" ht="12.75">
      <c r="A77" s="163"/>
      <c r="B77" s="163"/>
      <c r="C77" s="163"/>
      <c r="D77" s="163"/>
      <c r="E77" s="163"/>
      <c r="F77" s="163"/>
      <c r="G77" s="163"/>
      <c r="H77" s="163"/>
      <c r="I77" s="163"/>
    </row>
    <row r="78" spans="1:9" ht="12.75">
      <c r="A78" s="163"/>
      <c r="B78" s="163"/>
      <c r="C78" s="163"/>
      <c r="D78" s="163"/>
      <c r="E78" s="163"/>
      <c r="F78" s="163"/>
      <c r="G78" s="163"/>
      <c r="H78" s="163"/>
      <c r="I78" s="163"/>
    </row>
    <row r="79" spans="1:9" ht="12.75">
      <c r="A79" s="163"/>
      <c r="B79" s="163"/>
      <c r="C79" s="163"/>
      <c r="D79" s="163"/>
      <c r="E79" s="163"/>
      <c r="F79" s="163"/>
      <c r="G79" s="163"/>
      <c r="H79" s="163"/>
      <c r="I79" s="163"/>
    </row>
    <row r="80" spans="1:9" ht="12.75">
      <c r="A80" s="163"/>
      <c r="B80" s="163"/>
      <c r="C80" s="163"/>
      <c r="D80" s="163"/>
      <c r="E80" s="163"/>
      <c r="F80" s="163"/>
      <c r="G80" s="163"/>
      <c r="H80" s="163"/>
      <c r="I80" s="163"/>
    </row>
    <row r="81" spans="1:9" ht="12.75">
      <c r="A81" s="163"/>
      <c r="B81" s="163"/>
      <c r="C81" s="163"/>
      <c r="D81" s="163"/>
      <c r="E81" s="163"/>
      <c r="F81" s="163"/>
      <c r="G81" s="163"/>
      <c r="H81" s="163"/>
      <c r="I81" s="163"/>
    </row>
    <row r="82" spans="1:9" ht="12.75">
      <c r="A82" s="163"/>
      <c r="B82" s="163"/>
      <c r="C82" s="163"/>
      <c r="D82" s="163"/>
      <c r="E82" s="163"/>
      <c r="F82" s="163"/>
      <c r="G82" s="163"/>
      <c r="H82" s="163"/>
      <c r="I82" s="163"/>
    </row>
    <row r="83" spans="1:9" ht="12.75">
      <c r="A83" s="163"/>
      <c r="B83" s="163"/>
      <c r="C83" s="163"/>
      <c r="D83" s="163"/>
      <c r="E83" s="163"/>
      <c r="F83" s="163"/>
      <c r="G83" s="163"/>
      <c r="H83" s="163"/>
      <c r="I83" s="163"/>
    </row>
    <row r="84" spans="1:9" ht="12.75">
      <c r="A84" s="163"/>
      <c r="B84" s="163"/>
      <c r="C84" s="163"/>
      <c r="D84" s="163"/>
      <c r="E84" s="163"/>
      <c r="F84" s="163"/>
      <c r="G84" s="163"/>
      <c r="H84" s="163"/>
      <c r="I84" s="163"/>
    </row>
    <row r="85" spans="1:9" ht="12.75">
      <c r="A85" s="163"/>
      <c r="B85" s="163"/>
      <c r="C85" s="163"/>
      <c r="D85" s="163"/>
      <c r="E85" s="163"/>
      <c r="F85" s="163"/>
      <c r="G85" s="163"/>
      <c r="H85" s="163"/>
      <c r="I85" s="163"/>
    </row>
    <row r="86" spans="1:9" ht="12.75">
      <c r="A86" s="163"/>
      <c r="B86" s="163"/>
      <c r="C86" s="163"/>
      <c r="D86" s="163"/>
      <c r="E86" s="163"/>
      <c r="F86" s="163"/>
      <c r="G86" s="163"/>
      <c r="H86" s="163"/>
      <c r="I86" s="163"/>
    </row>
    <row r="87" spans="1:9" ht="12.75">
      <c r="A87" s="163"/>
      <c r="B87" s="163"/>
      <c r="C87" s="163"/>
      <c r="D87" s="163"/>
      <c r="E87" s="163"/>
      <c r="F87" s="163"/>
      <c r="G87" s="163"/>
      <c r="H87" s="163"/>
      <c r="I87" s="163"/>
    </row>
    <row r="88" spans="1:9" ht="12.75">
      <c r="A88" s="163"/>
      <c r="B88" s="163"/>
      <c r="C88" s="163"/>
      <c r="D88" s="163"/>
      <c r="E88" s="163"/>
      <c r="F88" s="163"/>
      <c r="G88" s="163"/>
      <c r="H88" s="163"/>
      <c r="I88" s="163"/>
    </row>
    <row r="89" spans="1:9" ht="12.75">
      <c r="A89" s="163"/>
      <c r="B89" s="163"/>
      <c r="C89" s="163"/>
      <c r="D89" s="163"/>
      <c r="E89" s="163"/>
      <c r="F89" s="163"/>
      <c r="G89" s="163"/>
      <c r="H89" s="163"/>
      <c r="I89" s="163"/>
    </row>
    <row r="90" spans="1:9" ht="12.75">
      <c r="A90" s="163"/>
      <c r="B90" s="163"/>
      <c r="C90" s="163"/>
      <c r="D90" s="163"/>
      <c r="E90" s="163"/>
      <c r="F90" s="163"/>
      <c r="G90" s="163"/>
      <c r="H90" s="163"/>
      <c r="I90" s="163"/>
    </row>
    <row r="91" spans="1:9" ht="12.75">
      <c r="A91" s="163"/>
      <c r="B91" s="163"/>
      <c r="C91" s="163"/>
      <c r="D91" s="163"/>
      <c r="E91" s="163"/>
      <c r="F91" s="163"/>
      <c r="G91" s="163"/>
      <c r="H91" s="163"/>
      <c r="I91" s="163"/>
    </row>
    <row r="92" spans="1:9" ht="12.75">
      <c r="A92" s="163"/>
      <c r="B92" s="163"/>
      <c r="C92" s="163"/>
      <c r="D92" s="163"/>
      <c r="E92" s="163"/>
      <c r="F92" s="163"/>
      <c r="G92" s="163"/>
      <c r="H92" s="163"/>
      <c r="I92" s="163"/>
    </row>
    <row r="93" spans="1:9" ht="12.75">
      <c r="A93" s="163"/>
      <c r="B93" s="163"/>
      <c r="C93" s="163"/>
      <c r="D93" s="163"/>
      <c r="E93" s="163"/>
      <c r="F93" s="163"/>
      <c r="G93" s="163"/>
      <c r="H93" s="163"/>
      <c r="I93" s="163"/>
    </row>
    <row r="94" spans="1:9" ht="12.75">
      <c r="A94" s="163"/>
      <c r="B94" s="163"/>
      <c r="C94" s="163"/>
      <c r="D94" s="163"/>
      <c r="E94" s="163"/>
      <c r="F94" s="163"/>
      <c r="G94" s="163"/>
      <c r="H94" s="163"/>
      <c r="I94" s="163"/>
    </row>
    <row r="95" spans="1:9" ht="12.75">
      <c r="A95" s="163"/>
      <c r="B95" s="163"/>
      <c r="C95" s="163"/>
      <c r="D95" s="163"/>
      <c r="E95" s="163"/>
      <c r="F95" s="163"/>
      <c r="G95" s="163"/>
      <c r="H95" s="163"/>
      <c r="I95" s="163"/>
    </row>
    <row r="96" spans="1:9" ht="12.75">
      <c r="A96" s="163"/>
      <c r="B96" s="163"/>
      <c r="C96" s="163"/>
      <c r="D96" s="163"/>
      <c r="E96" s="163"/>
      <c r="F96" s="163"/>
      <c r="G96" s="163"/>
      <c r="H96" s="163"/>
      <c r="I96" s="163"/>
    </row>
    <row r="97" spans="1:9" ht="12.75">
      <c r="A97" s="163"/>
      <c r="B97" s="163"/>
      <c r="C97" s="163"/>
      <c r="D97" s="163"/>
      <c r="E97" s="163"/>
      <c r="F97" s="163"/>
      <c r="G97" s="163"/>
      <c r="H97" s="163"/>
      <c r="I97" s="163"/>
    </row>
    <row r="98" spans="1:9" ht="12.75">
      <c r="A98" s="163"/>
      <c r="B98" s="163"/>
      <c r="C98" s="163"/>
      <c r="D98" s="163"/>
      <c r="E98" s="163"/>
      <c r="F98" s="163"/>
      <c r="G98" s="163"/>
      <c r="H98" s="163"/>
      <c r="I98" s="163"/>
    </row>
    <row r="99" spans="1:9" ht="12.75">
      <c r="A99" s="163"/>
      <c r="B99" s="163"/>
      <c r="C99" s="163"/>
      <c r="D99" s="163"/>
      <c r="E99" s="163"/>
      <c r="F99" s="163"/>
      <c r="G99" s="163"/>
      <c r="H99" s="163"/>
      <c r="I99" s="163"/>
    </row>
    <row r="100" spans="1:9" ht="12.75">
      <c r="A100" s="163"/>
      <c r="B100" s="163"/>
      <c r="C100" s="163"/>
      <c r="D100" s="163"/>
      <c r="E100" s="163"/>
      <c r="F100" s="163"/>
      <c r="G100" s="163"/>
      <c r="H100" s="163"/>
      <c r="I100" s="163"/>
    </row>
    <row r="101" spans="1:9" ht="12.75">
      <c r="A101" s="163"/>
      <c r="B101" s="163"/>
      <c r="C101" s="163"/>
      <c r="D101" s="163"/>
      <c r="E101" s="163"/>
      <c r="F101" s="163"/>
      <c r="G101" s="163"/>
      <c r="H101" s="163"/>
      <c r="I101" s="163"/>
    </row>
    <row r="102" spans="1:9" ht="12.75">
      <c r="A102" s="163"/>
      <c r="B102" s="163"/>
      <c r="C102" s="163"/>
      <c r="D102" s="163"/>
      <c r="E102" s="163"/>
      <c r="F102" s="163"/>
      <c r="G102" s="163"/>
      <c r="H102" s="163"/>
      <c r="I102" s="163"/>
    </row>
    <row r="103" spans="1:9" ht="12.75">
      <c r="A103" s="163"/>
      <c r="B103" s="163"/>
      <c r="C103" s="163"/>
      <c r="D103" s="163"/>
      <c r="E103" s="163"/>
      <c r="F103" s="163"/>
      <c r="G103" s="163"/>
      <c r="H103" s="163"/>
      <c r="I103" s="163"/>
    </row>
    <row r="104" spans="1:9" ht="12.75">
      <c r="A104" s="163"/>
      <c r="B104" s="163"/>
      <c r="C104" s="163"/>
      <c r="D104" s="163"/>
      <c r="E104" s="163"/>
      <c r="F104" s="163"/>
      <c r="G104" s="163"/>
      <c r="H104" s="163"/>
      <c r="I104" s="163"/>
    </row>
    <row r="105" spans="1:9" ht="12.75">
      <c r="A105" s="163"/>
      <c r="B105" s="163"/>
      <c r="C105" s="163"/>
      <c r="D105" s="163"/>
      <c r="E105" s="163"/>
      <c r="F105" s="163"/>
      <c r="G105" s="163"/>
      <c r="H105" s="163"/>
      <c r="I105" s="163"/>
    </row>
    <row r="106" spans="1:9" ht="12.75">
      <c r="A106" s="163"/>
      <c r="B106" s="163"/>
      <c r="C106" s="163"/>
      <c r="D106" s="163"/>
      <c r="E106" s="163"/>
      <c r="F106" s="163"/>
      <c r="G106" s="163"/>
      <c r="H106" s="163"/>
      <c r="I106" s="163"/>
    </row>
    <row r="107" spans="1:9" ht="12.75">
      <c r="A107" s="163"/>
      <c r="B107" s="163"/>
      <c r="C107" s="163"/>
      <c r="D107" s="163"/>
      <c r="E107" s="163"/>
      <c r="F107" s="163"/>
      <c r="G107" s="163"/>
      <c r="H107" s="163"/>
      <c r="I107" s="163"/>
    </row>
    <row r="108" spans="1:9" ht="12.75">
      <c r="A108" s="163"/>
      <c r="B108" s="163"/>
      <c r="C108" s="163"/>
      <c r="D108" s="163"/>
      <c r="E108" s="163"/>
      <c r="F108" s="163"/>
      <c r="G108" s="163"/>
      <c r="H108" s="163"/>
      <c r="I108" s="163"/>
    </row>
    <row r="109" spans="1:9" ht="12.75">
      <c r="A109" s="163"/>
      <c r="B109" s="163"/>
      <c r="C109" s="163"/>
      <c r="D109" s="163"/>
      <c r="E109" s="163"/>
      <c r="F109" s="163"/>
      <c r="G109" s="163"/>
      <c r="H109" s="163"/>
      <c r="I109" s="163"/>
    </row>
    <row r="110" spans="1:9" ht="12.75">
      <c r="A110" s="163"/>
      <c r="B110" s="163"/>
      <c r="C110" s="163"/>
      <c r="D110" s="163"/>
      <c r="E110" s="163"/>
      <c r="F110" s="163"/>
      <c r="G110" s="163"/>
      <c r="H110" s="163"/>
      <c r="I110" s="163"/>
    </row>
    <row r="111" spans="1:9" ht="12.75">
      <c r="A111" s="163"/>
      <c r="B111" s="163"/>
      <c r="C111" s="163"/>
      <c r="D111" s="163"/>
      <c r="E111" s="163"/>
      <c r="F111" s="163"/>
      <c r="G111" s="163"/>
      <c r="H111" s="163"/>
      <c r="I111" s="163"/>
    </row>
    <row r="112" spans="1:9" ht="12.75">
      <c r="A112" s="163"/>
      <c r="B112" s="163"/>
      <c r="C112" s="163"/>
      <c r="D112" s="163"/>
      <c r="E112" s="163"/>
      <c r="F112" s="163"/>
      <c r="G112" s="163"/>
      <c r="H112" s="163"/>
      <c r="I112" s="163"/>
    </row>
    <row r="113" spans="1:9" ht="12.75">
      <c r="A113" s="163"/>
      <c r="B113" s="163"/>
      <c r="C113" s="163"/>
      <c r="D113" s="163"/>
      <c r="E113" s="163"/>
      <c r="F113" s="163"/>
      <c r="G113" s="163"/>
      <c r="H113" s="163"/>
      <c r="I113" s="163"/>
    </row>
    <row r="114" spans="1:9" ht="12.75">
      <c r="A114" s="163"/>
      <c r="B114" s="163"/>
      <c r="C114" s="163"/>
      <c r="D114" s="163"/>
      <c r="E114" s="163"/>
      <c r="F114" s="163"/>
      <c r="G114" s="163"/>
      <c r="H114" s="163"/>
      <c r="I114" s="163"/>
    </row>
    <row r="115" spans="1:9" ht="12.75">
      <c r="A115" s="163"/>
      <c r="B115" s="163"/>
      <c r="C115" s="163"/>
      <c r="D115" s="163"/>
      <c r="E115" s="163"/>
      <c r="F115" s="163"/>
      <c r="G115" s="163"/>
      <c r="H115" s="163"/>
      <c r="I115" s="163"/>
    </row>
    <row r="116" spans="1:9" ht="12.75">
      <c r="A116" s="163"/>
      <c r="B116" s="163"/>
      <c r="C116" s="163"/>
      <c r="D116" s="163"/>
      <c r="E116" s="163"/>
      <c r="F116" s="163"/>
      <c r="G116" s="163"/>
      <c r="H116" s="163"/>
      <c r="I116" s="163"/>
    </row>
    <row r="117" spans="1:9" ht="12.75">
      <c r="A117" s="163"/>
      <c r="B117" s="163"/>
      <c r="C117" s="163"/>
      <c r="D117" s="163"/>
      <c r="E117" s="163"/>
      <c r="F117" s="163"/>
      <c r="G117" s="163"/>
      <c r="H117" s="163"/>
      <c r="I117" s="163"/>
    </row>
    <row r="118" spans="1:9" ht="12.75">
      <c r="A118" s="163"/>
      <c r="B118" s="163"/>
      <c r="C118" s="163"/>
      <c r="D118" s="163"/>
      <c r="E118" s="163"/>
      <c r="F118" s="163"/>
      <c r="G118" s="163"/>
      <c r="H118" s="163"/>
      <c r="I118" s="163"/>
    </row>
    <row r="119" spans="1:9" ht="12.75">
      <c r="A119" s="163"/>
      <c r="B119" s="163"/>
      <c r="C119" s="163"/>
      <c r="D119" s="163"/>
      <c r="E119" s="163"/>
      <c r="F119" s="163"/>
      <c r="G119" s="163"/>
      <c r="H119" s="163"/>
      <c r="I119" s="163"/>
    </row>
    <row r="120" spans="1:9" ht="12.75">
      <c r="A120" s="163"/>
      <c r="B120" s="163"/>
      <c r="C120" s="163"/>
      <c r="D120" s="163"/>
      <c r="E120" s="163"/>
      <c r="F120" s="163"/>
      <c r="G120" s="163"/>
      <c r="H120" s="163"/>
      <c r="I120" s="163"/>
    </row>
    <row r="121" spans="1:9" ht="12.75">
      <c r="A121" s="163"/>
      <c r="B121" s="163"/>
      <c r="C121" s="163"/>
      <c r="D121" s="163"/>
      <c r="E121" s="163"/>
      <c r="F121" s="163"/>
      <c r="G121" s="163"/>
      <c r="H121" s="163"/>
      <c r="I121" s="163"/>
    </row>
    <row r="122" spans="1:9" ht="12.75">
      <c r="A122" s="163"/>
      <c r="B122" s="163"/>
      <c r="C122" s="163"/>
      <c r="D122" s="163"/>
      <c r="E122" s="163"/>
      <c r="F122" s="163"/>
      <c r="G122" s="163"/>
      <c r="H122" s="163"/>
      <c r="I122" s="163"/>
    </row>
    <row r="123" spans="1:9" ht="12.75">
      <c r="A123" s="163"/>
      <c r="B123" s="163"/>
      <c r="C123" s="163"/>
      <c r="D123" s="163"/>
      <c r="E123" s="163"/>
      <c r="F123" s="163"/>
      <c r="G123" s="163"/>
      <c r="H123" s="163"/>
      <c r="I123" s="163"/>
    </row>
    <row r="124" spans="1:9" ht="12.75">
      <c r="A124" s="163"/>
      <c r="B124" s="163"/>
      <c r="C124" s="163"/>
      <c r="D124" s="163"/>
      <c r="E124" s="163"/>
      <c r="F124" s="163"/>
      <c r="G124" s="163"/>
      <c r="H124" s="163"/>
      <c r="I124" s="163"/>
    </row>
    <row r="125" spans="1:9" ht="12.75">
      <c r="A125" s="163"/>
      <c r="B125" s="163"/>
      <c r="C125" s="163"/>
      <c r="D125" s="163"/>
      <c r="E125" s="163"/>
      <c r="F125" s="163"/>
      <c r="G125" s="163"/>
      <c r="H125" s="163"/>
      <c r="I125" s="163"/>
    </row>
    <row r="126" spans="1:9" ht="12.75">
      <c r="A126" s="163"/>
      <c r="B126" s="163"/>
      <c r="C126" s="163"/>
      <c r="D126" s="163"/>
      <c r="E126" s="163"/>
      <c r="F126" s="163"/>
      <c r="G126" s="163"/>
      <c r="H126" s="163"/>
      <c r="I126" s="163"/>
    </row>
    <row r="127" spans="1:9" ht="12.75">
      <c r="A127" s="163"/>
      <c r="B127" s="163"/>
      <c r="C127" s="163"/>
      <c r="D127" s="163"/>
      <c r="E127" s="163"/>
      <c r="F127" s="163"/>
      <c r="G127" s="163"/>
      <c r="H127" s="163"/>
      <c r="I127" s="163"/>
    </row>
    <row r="128" spans="1:9" ht="12.75">
      <c r="A128" s="163"/>
      <c r="B128" s="163"/>
      <c r="C128" s="163"/>
      <c r="D128" s="163"/>
      <c r="E128" s="163"/>
      <c r="F128" s="163"/>
      <c r="G128" s="163"/>
      <c r="H128" s="163"/>
      <c r="I128" s="163"/>
    </row>
    <row r="129" spans="1:9" ht="12.75">
      <c r="A129" s="163"/>
      <c r="B129" s="163"/>
      <c r="C129" s="163"/>
      <c r="D129" s="163"/>
      <c r="E129" s="163"/>
      <c r="F129" s="163"/>
      <c r="G129" s="163"/>
      <c r="H129" s="163"/>
      <c r="I129" s="163"/>
    </row>
    <row r="130" spans="1:9" ht="12.75">
      <c r="A130" s="163"/>
      <c r="B130" s="163"/>
      <c r="C130" s="163"/>
      <c r="D130" s="163"/>
      <c r="E130" s="163"/>
      <c r="F130" s="163"/>
      <c r="G130" s="163"/>
      <c r="H130" s="163"/>
      <c r="I130" s="163"/>
    </row>
    <row r="131" spans="1:9" ht="12.75">
      <c r="A131" s="163"/>
      <c r="B131" s="163"/>
      <c r="C131" s="163"/>
      <c r="D131" s="163"/>
      <c r="E131" s="163"/>
      <c r="F131" s="163"/>
      <c r="G131" s="163"/>
      <c r="H131" s="163"/>
      <c r="I131" s="163"/>
    </row>
    <row r="132" spans="1:9" ht="12.75">
      <c r="A132" s="163"/>
      <c r="B132" s="163"/>
      <c r="C132" s="163"/>
      <c r="D132" s="163"/>
      <c r="E132" s="163"/>
      <c r="F132" s="163"/>
      <c r="G132" s="163"/>
      <c r="H132" s="163"/>
      <c r="I132" s="163"/>
    </row>
    <row r="133" spans="1:9" ht="12.75">
      <c r="A133" s="163"/>
      <c r="B133" s="163"/>
      <c r="C133" s="163"/>
      <c r="D133" s="163"/>
      <c r="E133" s="163"/>
      <c r="F133" s="163"/>
      <c r="G133" s="163"/>
      <c r="H133" s="163"/>
      <c r="I133" s="163"/>
    </row>
    <row r="134" spans="1:9" ht="12.75">
      <c r="A134" s="163"/>
      <c r="B134" s="163"/>
      <c r="C134" s="163"/>
      <c r="D134" s="163"/>
      <c r="E134" s="163"/>
      <c r="F134" s="163"/>
      <c r="G134" s="163"/>
      <c r="H134" s="163"/>
      <c r="I134" s="163"/>
    </row>
    <row r="135" spans="1:9" ht="12.75">
      <c r="A135" s="163"/>
      <c r="B135" s="163"/>
      <c r="C135" s="163"/>
      <c r="D135" s="163"/>
      <c r="E135" s="163"/>
      <c r="F135" s="163"/>
      <c r="G135" s="163"/>
      <c r="H135" s="163"/>
      <c r="I135" s="163"/>
    </row>
    <row r="136" spans="1:9" ht="12.75">
      <c r="A136" s="163"/>
      <c r="B136" s="163"/>
      <c r="C136" s="163"/>
      <c r="D136" s="163"/>
      <c r="E136" s="163"/>
      <c r="F136" s="163"/>
      <c r="G136" s="163"/>
      <c r="H136" s="163"/>
      <c r="I136" s="163"/>
    </row>
    <row r="137" spans="1:9" ht="12.75">
      <c r="A137" s="163"/>
      <c r="B137" s="163"/>
      <c r="C137" s="163"/>
      <c r="D137" s="163"/>
      <c r="E137" s="163"/>
      <c r="F137" s="163"/>
      <c r="G137" s="163"/>
      <c r="H137" s="163"/>
      <c r="I137" s="163"/>
    </row>
    <row r="138" spans="1:9" ht="12.75">
      <c r="A138" s="163"/>
      <c r="B138" s="163"/>
      <c r="C138" s="163"/>
      <c r="D138" s="163"/>
      <c r="E138" s="163"/>
      <c r="F138" s="163"/>
      <c r="G138" s="163"/>
      <c r="H138" s="163"/>
      <c r="I138" s="163"/>
    </row>
    <row r="139" spans="1:9" ht="12.75">
      <c r="A139" s="163"/>
      <c r="B139" s="163"/>
      <c r="C139" s="163"/>
      <c r="D139" s="163"/>
      <c r="E139" s="163"/>
      <c r="F139" s="163"/>
      <c r="G139" s="163"/>
      <c r="H139" s="163"/>
      <c r="I139" s="163"/>
    </row>
    <row r="140" spans="1:9" ht="12.75">
      <c r="A140" s="163"/>
      <c r="B140" s="163"/>
      <c r="C140" s="163"/>
      <c r="D140" s="163"/>
      <c r="E140" s="163"/>
      <c r="F140" s="163"/>
      <c r="G140" s="163"/>
      <c r="H140" s="163"/>
      <c r="I140" s="163"/>
    </row>
    <row r="141" spans="1:9" ht="12.75">
      <c r="A141" s="163"/>
      <c r="B141" s="163"/>
      <c r="C141" s="163"/>
      <c r="D141" s="163"/>
      <c r="E141" s="163"/>
      <c r="F141" s="163"/>
      <c r="G141" s="163"/>
      <c r="H141" s="163"/>
      <c r="I141" s="163"/>
    </row>
    <row r="142" spans="1:9" ht="12.75">
      <c r="A142" s="163"/>
      <c r="B142" s="163"/>
      <c r="C142" s="163"/>
      <c r="D142" s="163"/>
      <c r="E142" s="163"/>
      <c r="F142" s="163"/>
      <c r="G142" s="163"/>
      <c r="H142" s="163"/>
      <c r="I142" s="163"/>
    </row>
    <row r="143" spans="1:9" ht="12.75">
      <c r="A143" s="163"/>
      <c r="B143" s="163"/>
      <c r="C143" s="163"/>
      <c r="D143" s="163"/>
      <c r="E143" s="163"/>
      <c r="F143" s="163"/>
      <c r="G143" s="163"/>
      <c r="H143" s="163"/>
      <c r="I143" s="163"/>
    </row>
    <row r="144" spans="1:9" ht="12.75">
      <c r="A144" s="163"/>
      <c r="B144" s="163"/>
      <c r="C144" s="163"/>
      <c r="D144" s="163"/>
      <c r="E144" s="163"/>
      <c r="F144" s="163"/>
      <c r="G144" s="163"/>
      <c r="H144" s="163"/>
      <c r="I144" s="163"/>
    </row>
    <row r="145" spans="1:9" ht="12.75">
      <c r="A145" s="163"/>
      <c r="B145" s="163"/>
      <c r="C145" s="163"/>
      <c r="D145" s="163"/>
      <c r="E145" s="163"/>
      <c r="F145" s="163"/>
      <c r="G145" s="163"/>
      <c r="H145" s="163"/>
      <c r="I145" s="163"/>
    </row>
    <row r="146" spans="1:9" ht="12.75">
      <c r="A146" s="163"/>
      <c r="B146" s="163"/>
      <c r="C146" s="163"/>
      <c r="D146" s="163"/>
      <c r="E146" s="163"/>
      <c r="F146" s="163"/>
      <c r="G146" s="163"/>
      <c r="H146" s="163"/>
      <c r="I146" s="163"/>
    </row>
    <row r="147" spans="1:9" ht="12.75">
      <c r="A147" s="163"/>
      <c r="B147" s="163"/>
      <c r="C147" s="163"/>
      <c r="D147" s="163"/>
      <c r="E147" s="163"/>
      <c r="F147" s="163"/>
      <c r="G147" s="163"/>
      <c r="H147" s="163"/>
      <c r="I147" s="163"/>
    </row>
    <row r="148" spans="1:9" ht="12.75">
      <c r="A148" s="163"/>
      <c r="B148" s="163"/>
      <c r="C148" s="163"/>
      <c r="D148" s="163"/>
      <c r="E148" s="163"/>
      <c r="F148" s="163"/>
      <c r="G148" s="163"/>
      <c r="H148" s="163"/>
      <c r="I148" s="163"/>
    </row>
    <row r="149" spans="1:9" ht="12.75">
      <c r="A149" s="163"/>
      <c r="B149" s="163"/>
      <c r="C149" s="163"/>
      <c r="D149" s="163"/>
      <c r="E149" s="163"/>
      <c r="F149" s="163"/>
      <c r="G149" s="163"/>
      <c r="H149" s="163"/>
      <c r="I149" s="163"/>
    </row>
    <row r="150" spans="1:9" ht="12.75">
      <c r="A150" s="163"/>
      <c r="B150" s="163"/>
      <c r="C150" s="163"/>
      <c r="D150" s="163"/>
      <c r="E150" s="163"/>
      <c r="F150" s="163"/>
      <c r="G150" s="163"/>
      <c r="H150" s="163"/>
      <c r="I150" s="163"/>
    </row>
    <row r="151" spans="1:9" ht="12.75">
      <c r="A151" s="163"/>
      <c r="B151" s="163"/>
      <c r="C151" s="163"/>
      <c r="D151" s="163"/>
      <c r="E151" s="163"/>
      <c r="F151" s="163"/>
      <c r="G151" s="163"/>
      <c r="H151" s="163"/>
      <c r="I151" s="163"/>
    </row>
    <row r="152" spans="1:9" ht="12.75">
      <c r="A152" s="163"/>
      <c r="B152" s="163"/>
      <c r="C152" s="163"/>
      <c r="D152" s="163"/>
      <c r="E152" s="163"/>
      <c r="F152" s="163"/>
      <c r="G152" s="163"/>
      <c r="H152" s="163"/>
      <c r="I152" s="163"/>
    </row>
    <row r="153" spans="1:9" ht="12.75">
      <c r="A153" s="163"/>
      <c r="B153" s="163"/>
      <c r="C153" s="163"/>
      <c r="D153" s="163"/>
      <c r="E153" s="163"/>
      <c r="F153" s="163"/>
      <c r="G153" s="163"/>
      <c r="H153" s="163"/>
      <c r="I153" s="163"/>
    </row>
    <row r="154" spans="1:9" ht="12.75">
      <c r="A154" s="163"/>
      <c r="B154" s="163"/>
      <c r="C154" s="163"/>
      <c r="D154" s="163"/>
      <c r="E154" s="163"/>
      <c r="F154" s="163"/>
      <c r="G154" s="163"/>
      <c r="H154" s="163"/>
      <c r="I154" s="163"/>
    </row>
  </sheetData>
  <sheetProtection password="C784" sheet="1" objects="1" scenarios="1"/>
  <hyperlinks>
    <hyperlink ref="D9" r:id="rId1" display="proteus.vitus@gmail.com"/>
    <hyperlink ref="H18" r:id="rId2" display="www.vitus.co.rs"/>
    <hyperlink ref="F9" r:id="rId3" display="rikalovic.milan@gmail.com"/>
    <hyperlink ref="H9" r:id="rId4" display="vitus@verat.net"/>
    <hyperlink ref="H17" r:id="rId5" display="www.vitus.co.rs"/>
  </hyperlinks>
  <printOptions/>
  <pageMargins left="0.7" right="0.2" top="0.7" bottom="0.7" header="0.3" footer="0.3"/>
  <pageSetup horizontalDpi="300" verticalDpi="300" orientation="portrait" paperSize="9" scale="80" r:id="rId7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4"/>
  <sheetViews>
    <sheetView showGridLines="0" workbookViewId="0" topLeftCell="A1">
      <selection activeCell="E21" sqref="E21"/>
    </sheetView>
  </sheetViews>
  <sheetFormatPr defaultColWidth="9.140625" defaultRowHeight="12.75"/>
  <cols>
    <col min="1" max="2" width="9.00390625" style="144" customWidth="1"/>
    <col min="3" max="3" width="9.7109375" style="144" customWidth="1"/>
    <col min="4" max="4" width="8.7109375" style="144" customWidth="1"/>
    <col min="5" max="7" width="9.00390625" style="144" customWidth="1"/>
    <col min="8" max="8" width="9.7109375" style="144" customWidth="1"/>
    <col min="9" max="13" width="9.00390625" style="144" customWidth="1"/>
    <col min="14" max="16384" width="9.140625" style="144" customWidth="1"/>
  </cols>
  <sheetData>
    <row r="1" ht="12.75" customHeight="1">
      <c r="M1" s="657" t="str">
        <f>GEOMETRIJA!M1</f>
        <v>ver.: v2, jun 2002.</v>
      </c>
    </row>
    <row r="2" ht="12.75" customHeight="1"/>
    <row r="3" ht="12.75" customHeight="1"/>
    <row r="4" ht="12.75" customHeight="1"/>
    <row r="5" ht="12.75" customHeight="1"/>
    <row r="6" spans="1:13" ht="15.75" customHeight="1">
      <c r="A6" s="281"/>
      <c r="B6" s="281"/>
      <c r="C6" s="171" t="s">
        <v>101</v>
      </c>
      <c r="D6" s="895" t="s">
        <v>762</v>
      </c>
      <c r="E6" s="282"/>
      <c r="F6" s="282"/>
      <c r="G6" s="282"/>
      <c r="H6" s="282"/>
      <c r="I6" s="282"/>
      <c r="J6" s="282"/>
      <c r="K6" s="281"/>
      <c r="L6" s="281"/>
      <c r="M6" s="281"/>
    </row>
    <row r="7" spans="1:13" ht="18" customHeight="1">
      <c r="A7" s="883" t="s">
        <v>747</v>
      </c>
      <c r="B7" s="219"/>
      <c r="C7" s="220"/>
      <c r="D7" s="283"/>
      <c r="E7" s="690" t="s">
        <v>316</v>
      </c>
      <c r="F7" s="22">
        <v>0.49</v>
      </c>
      <c r="G7" s="281"/>
      <c r="H7" s="883" t="s">
        <v>97</v>
      </c>
      <c r="I7" s="219"/>
      <c r="J7" s="220"/>
      <c r="K7" s="284"/>
      <c r="L7" s="682" t="s">
        <v>310</v>
      </c>
      <c r="M7" s="21">
        <v>6</v>
      </c>
    </row>
    <row r="8" spans="1:13" ht="18" customHeight="1">
      <c r="A8" s="883" t="s">
        <v>112</v>
      </c>
      <c r="B8" s="219"/>
      <c r="C8" s="220"/>
      <c r="D8" s="283"/>
      <c r="E8" s="690" t="s">
        <v>343</v>
      </c>
      <c r="F8" s="22">
        <v>0.003</v>
      </c>
      <c r="G8" s="281"/>
      <c r="H8" s="884" t="s">
        <v>741</v>
      </c>
      <c r="I8" s="233"/>
      <c r="J8" s="234"/>
      <c r="K8" s="285"/>
      <c r="L8" s="682" t="s">
        <v>311</v>
      </c>
      <c r="M8" s="21">
        <v>2</v>
      </c>
    </row>
    <row r="9" spans="1:13" ht="18" customHeight="1">
      <c r="A9" s="890" t="s">
        <v>749</v>
      </c>
      <c r="B9" s="286"/>
      <c r="C9" s="286"/>
      <c r="D9" s="926" t="s">
        <v>100</v>
      </c>
      <c r="E9" s="682" t="s">
        <v>475</v>
      </c>
      <c r="F9" s="22">
        <v>0.018</v>
      </c>
      <c r="G9" s="281"/>
      <c r="H9" s="883" t="s">
        <v>778</v>
      </c>
      <c r="I9" s="219"/>
      <c r="J9" s="220"/>
      <c r="K9" s="284"/>
      <c r="L9" s="682" t="s">
        <v>476</v>
      </c>
      <c r="M9" s="21">
        <v>2.6</v>
      </c>
    </row>
    <row r="10" spans="1:13" ht="18" customHeight="1">
      <c r="A10" s="891" t="s">
        <v>98</v>
      </c>
      <c r="B10" s="287"/>
      <c r="C10" s="287"/>
      <c r="D10" s="288"/>
      <c r="E10" s="682" t="s">
        <v>342</v>
      </c>
      <c r="F10" s="22">
        <v>0.001</v>
      </c>
      <c r="G10" s="281"/>
      <c r="H10" s="927" t="s">
        <v>779</v>
      </c>
      <c r="I10" s="289"/>
      <c r="J10" s="289"/>
      <c r="K10" s="290"/>
      <c r="L10" s="722" t="s">
        <v>477</v>
      </c>
      <c r="M10" s="291">
        <f>ROUND((F7-F9-F7/100)/2,3)</f>
        <v>0.234</v>
      </c>
    </row>
    <row r="11" spans="1:13" ht="18" customHeight="1">
      <c r="A11" s="885" t="s">
        <v>777</v>
      </c>
      <c r="B11" s="230"/>
      <c r="C11" s="231"/>
      <c r="D11" s="290"/>
      <c r="E11" s="682" t="s">
        <v>478</v>
      </c>
      <c r="F11" s="292">
        <f>F9-2*F10</f>
        <v>0.016</v>
      </c>
      <c r="G11" s="281"/>
      <c r="H11" s="891" t="s">
        <v>780</v>
      </c>
      <c r="I11" s="287"/>
      <c r="J11" s="287"/>
      <c r="K11" s="288"/>
      <c r="L11" s="682" t="s">
        <v>345</v>
      </c>
      <c r="M11" s="291">
        <f>F12*F11^2*PI()/4</f>
        <v>0.05267822561539365</v>
      </c>
    </row>
    <row r="12" spans="1:13" ht="18" customHeight="1">
      <c r="A12" s="886" t="s">
        <v>743</v>
      </c>
      <c r="B12" s="230"/>
      <c r="C12" s="231"/>
      <c r="D12" s="293"/>
      <c r="E12" s="722" t="s">
        <v>312</v>
      </c>
      <c r="F12" s="21">
        <v>262</v>
      </c>
      <c r="G12" s="281"/>
      <c r="H12" s="885" t="s">
        <v>781</v>
      </c>
      <c r="I12" s="230"/>
      <c r="J12" s="231"/>
      <c r="K12" s="290"/>
      <c r="L12" s="682" t="s">
        <v>344</v>
      </c>
      <c r="M12" s="292">
        <f>PI()*(F7^2-F12*F9^2)/4-IF(M8=1,0,F7*F8*M8/2)</f>
        <v>0.12043321973724473</v>
      </c>
    </row>
    <row r="13" spans="1:13" ht="16.5" customHeight="1">
      <c r="A13" s="281"/>
      <c r="B13" s="281"/>
      <c r="C13" s="281"/>
      <c r="D13" s="281"/>
      <c r="E13" s="281"/>
      <c r="F13" s="281"/>
      <c r="G13" s="281"/>
      <c r="H13" s="887" t="s">
        <v>782</v>
      </c>
      <c r="I13" s="294"/>
      <c r="J13" s="294"/>
      <c r="K13" s="295"/>
      <c r="L13" s="682" t="s">
        <v>346</v>
      </c>
      <c r="M13" s="296">
        <f>4*M12/((F7+F12*F9)*PI()+IF(M8=1,0,M8*F7))</f>
        <v>0.027789398828031858</v>
      </c>
    </row>
    <row r="14" spans="1:13" ht="15.75">
      <c r="A14" s="297"/>
      <c r="B14" s="298"/>
      <c r="C14" s="899"/>
      <c r="D14" s="895" t="s">
        <v>157</v>
      </c>
      <c r="E14" s="299"/>
      <c r="F14" s="300"/>
      <c r="G14" s="282"/>
      <c r="H14" s="282"/>
      <c r="I14" s="281"/>
      <c r="J14" s="281"/>
      <c r="K14" s="281"/>
      <c r="L14" s="281"/>
      <c r="M14" s="281"/>
    </row>
    <row r="15" spans="1:13" ht="15">
      <c r="A15" s="281"/>
      <c r="B15" s="281"/>
      <c r="C15" s="898" t="s">
        <v>102</v>
      </c>
      <c r="D15" s="895" t="s">
        <v>783</v>
      </c>
      <c r="E15" s="282"/>
      <c r="F15" s="282"/>
      <c r="G15" s="282"/>
      <c r="H15" s="282"/>
      <c r="I15" s="281"/>
      <c r="J15" s="281"/>
      <c r="K15" s="281"/>
      <c r="L15" s="281"/>
      <c r="M15" s="281"/>
    </row>
    <row r="16" spans="1:13" ht="18" customHeight="1">
      <c r="A16" s="895" t="s">
        <v>103</v>
      </c>
      <c r="B16" s="282"/>
      <c r="C16" s="282"/>
      <c r="D16" s="896" t="s">
        <v>123</v>
      </c>
      <c r="E16" s="897"/>
      <c r="F16" s="896" t="s">
        <v>65</v>
      </c>
      <c r="G16" s="281"/>
      <c r="H16" s="895" t="s">
        <v>784</v>
      </c>
      <c r="I16" s="282"/>
      <c r="J16" s="282"/>
      <c r="K16" s="896" t="s">
        <v>151</v>
      </c>
      <c r="L16" s="301"/>
      <c r="M16" s="302" t="str">
        <f>IF(F16="PRIMAR","SEKUNDAR",IF(F16="SEKUNDAR","PRIMAR,",""))</f>
        <v>SEKUNDAR</v>
      </c>
    </row>
    <row r="17" spans="1:13" ht="18" customHeight="1">
      <c r="A17" s="883" t="s">
        <v>104</v>
      </c>
      <c r="B17" s="219"/>
      <c r="C17" s="220"/>
      <c r="D17" s="676" t="s">
        <v>347</v>
      </c>
      <c r="E17" s="303" t="s">
        <v>105</v>
      </c>
      <c r="F17" s="19">
        <v>2800</v>
      </c>
      <c r="G17" s="281"/>
      <c r="H17" s="883" t="s">
        <v>104</v>
      </c>
      <c r="I17" s="219"/>
      <c r="J17" s="304">
        <f>M17/M20</f>
        <v>5300</v>
      </c>
      <c r="K17" s="676" t="s">
        <v>355</v>
      </c>
      <c r="L17" s="303" t="s">
        <v>105</v>
      </c>
      <c r="M17" s="19">
        <f>5300*M20</f>
        <v>5978.4</v>
      </c>
    </row>
    <row r="18" spans="1:13" ht="18" customHeight="1">
      <c r="A18" s="884" t="s">
        <v>106</v>
      </c>
      <c r="B18" s="233"/>
      <c r="C18" s="234"/>
      <c r="D18" s="677" t="s">
        <v>348</v>
      </c>
      <c r="E18" s="303" t="s">
        <v>108</v>
      </c>
      <c r="F18" s="19">
        <v>100</v>
      </c>
      <c r="G18" s="281"/>
      <c r="H18" s="884" t="s">
        <v>106</v>
      </c>
      <c r="I18" s="233"/>
      <c r="J18" s="234"/>
      <c r="K18" s="677" t="s">
        <v>356</v>
      </c>
      <c r="L18" s="303" t="s">
        <v>108</v>
      </c>
      <c r="M18" s="19">
        <v>40</v>
      </c>
    </row>
    <row r="19" spans="1:13" ht="18" customHeight="1">
      <c r="A19" s="883" t="s">
        <v>763</v>
      </c>
      <c r="B19" s="219"/>
      <c r="C19" s="220"/>
      <c r="D19" s="676" t="s">
        <v>351</v>
      </c>
      <c r="E19" s="303" t="s">
        <v>349</v>
      </c>
      <c r="F19" s="19">
        <v>2.185</v>
      </c>
      <c r="G19" s="281"/>
      <c r="H19" s="883" t="s">
        <v>763</v>
      </c>
      <c r="I19" s="219"/>
      <c r="J19" s="220"/>
      <c r="K19" s="676" t="s">
        <v>351</v>
      </c>
      <c r="L19" s="303" t="s">
        <v>349</v>
      </c>
      <c r="M19" s="19">
        <v>1.005</v>
      </c>
    </row>
    <row r="20" spans="1:13" ht="18" customHeight="1">
      <c r="A20" s="884" t="s">
        <v>764</v>
      </c>
      <c r="B20" s="233"/>
      <c r="C20" s="234"/>
      <c r="D20" s="679" t="s">
        <v>107</v>
      </c>
      <c r="E20" s="303" t="s">
        <v>109</v>
      </c>
      <c r="F20" s="19">
        <v>520</v>
      </c>
      <c r="G20" s="281"/>
      <c r="H20" s="884" t="s">
        <v>764</v>
      </c>
      <c r="I20" s="233"/>
      <c r="J20" s="234"/>
      <c r="K20" s="679" t="s">
        <v>107</v>
      </c>
      <c r="L20" s="303" t="s">
        <v>109</v>
      </c>
      <c r="M20" s="19">
        <v>1.128</v>
      </c>
    </row>
    <row r="21" spans="1:13" ht="18" customHeight="1">
      <c r="A21" s="884" t="s">
        <v>765</v>
      </c>
      <c r="B21" s="233"/>
      <c r="C21" s="234"/>
      <c r="D21" s="679" t="s">
        <v>91</v>
      </c>
      <c r="E21" s="303" t="s">
        <v>111</v>
      </c>
      <c r="F21" s="20">
        <f>2*10^-3/F20</f>
        <v>3.846153846153846E-06</v>
      </c>
      <c r="G21" s="281"/>
      <c r="H21" s="884" t="s">
        <v>765</v>
      </c>
      <c r="I21" s="233"/>
      <c r="J21" s="234"/>
      <c r="K21" s="679" t="s">
        <v>91</v>
      </c>
      <c r="L21" s="303" t="s">
        <v>111</v>
      </c>
      <c r="M21" s="20">
        <f>0.0191*10^-3/M20</f>
        <v>1.6932624113475178E-05</v>
      </c>
    </row>
    <row r="22" spans="1:13" ht="18" customHeight="1">
      <c r="A22" s="885" t="s">
        <v>766</v>
      </c>
      <c r="B22" s="230"/>
      <c r="C22" s="231"/>
      <c r="D22" s="680" t="s">
        <v>110</v>
      </c>
      <c r="E22" s="678" t="s">
        <v>350</v>
      </c>
      <c r="F22" s="19">
        <f>0.14*10^-3</f>
        <v>0.00014000000000000001</v>
      </c>
      <c r="G22" s="281"/>
      <c r="H22" s="885" t="s">
        <v>766</v>
      </c>
      <c r="I22" s="230"/>
      <c r="J22" s="231"/>
      <c r="K22" s="680" t="s">
        <v>110</v>
      </c>
      <c r="L22" s="678" t="s">
        <v>350</v>
      </c>
      <c r="M22" s="19">
        <v>2.76E-05</v>
      </c>
    </row>
    <row r="23" spans="1:13" ht="18" customHeight="1">
      <c r="A23" s="883" t="s">
        <v>122</v>
      </c>
      <c r="B23" s="219"/>
      <c r="C23" s="220"/>
      <c r="D23" s="739" t="s">
        <v>352</v>
      </c>
      <c r="E23" s="305">
        <f>ROUND(F18-M57*F9*(F18-M18)/(F56*F11),2)</f>
        <v>59.42</v>
      </c>
      <c r="F23" s="21">
        <f>E23</f>
        <v>59.42</v>
      </c>
      <c r="G23" s="281"/>
      <c r="H23" s="883" t="s">
        <v>149</v>
      </c>
      <c r="I23" s="219"/>
      <c r="J23" s="220"/>
      <c r="K23" s="739" t="s">
        <v>354</v>
      </c>
      <c r="L23" s="305">
        <f>ROUND(M18+M57*(F18-M18)/(M56),2)</f>
        <v>58.88</v>
      </c>
      <c r="M23" s="21">
        <f>L23</f>
        <v>58.88</v>
      </c>
    </row>
    <row r="24" spans="1:13" ht="18" customHeight="1">
      <c r="A24" s="885" t="s">
        <v>767</v>
      </c>
      <c r="B24" s="230"/>
      <c r="C24" s="231"/>
      <c r="D24" s="680" t="s">
        <v>353</v>
      </c>
      <c r="E24" s="303" t="s">
        <v>111</v>
      </c>
      <c r="F24" s="20">
        <f>4.17*10^-3</f>
        <v>0.00417</v>
      </c>
      <c r="G24" s="281"/>
      <c r="H24" s="885" t="s">
        <v>767</v>
      </c>
      <c r="I24" s="230"/>
      <c r="J24" s="231"/>
      <c r="K24" s="680" t="s">
        <v>353</v>
      </c>
      <c r="L24" s="303" t="s">
        <v>111</v>
      </c>
      <c r="M24" s="20">
        <f>0.0198*10^-3</f>
        <v>1.9800000000000004E-05</v>
      </c>
    </row>
    <row r="25" spans="1:13" ht="15">
      <c r="A25" s="281"/>
      <c r="B25" s="281"/>
      <c r="C25" s="281"/>
      <c r="D25" s="281"/>
      <c r="E25" s="281"/>
      <c r="F25" s="281"/>
      <c r="G25" s="281"/>
      <c r="H25" s="281"/>
      <c r="I25" s="281"/>
      <c r="J25" s="281"/>
      <c r="K25" s="281"/>
      <c r="L25" s="281"/>
      <c r="M25" s="281"/>
    </row>
    <row r="26" spans="1:13" ht="15">
      <c r="A26" s="281"/>
      <c r="B26" s="281"/>
      <c r="C26" s="898" t="s">
        <v>113</v>
      </c>
      <c r="D26" s="895" t="s">
        <v>114</v>
      </c>
      <c r="E26" s="282"/>
      <c r="F26" s="282"/>
      <c r="G26" s="282"/>
      <c r="H26" s="282"/>
      <c r="I26" s="306"/>
      <c r="J26" s="267"/>
      <c r="K26" s="267"/>
      <c r="L26" s="281"/>
      <c r="M26" s="281"/>
    </row>
    <row r="27" spans="1:13" ht="18" customHeight="1">
      <c r="A27" s="888" t="s">
        <v>115</v>
      </c>
      <c r="B27" s="222"/>
      <c r="C27" s="223"/>
      <c r="D27" s="691" t="s">
        <v>357</v>
      </c>
      <c r="E27" s="225" t="s">
        <v>350</v>
      </c>
      <c r="F27" s="23">
        <v>0.389</v>
      </c>
      <c r="G27" s="281"/>
      <c r="H27" s="888" t="s">
        <v>116</v>
      </c>
      <c r="I27" s="222"/>
      <c r="J27" s="223"/>
      <c r="K27" s="686" t="s">
        <v>366</v>
      </c>
      <c r="L27" s="225" t="s">
        <v>268</v>
      </c>
      <c r="M27" s="307">
        <f>ROUND(LN(F9/F11)*F9/(2*F27),3)</f>
        <v>0.003</v>
      </c>
    </row>
    <row r="28" spans="1:13" ht="18" customHeight="1">
      <c r="A28" s="883" t="s">
        <v>117</v>
      </c>
      <c r="B28" s="219"/>
      <c r="C28" s="220"/>
      <c r="D28" s="687" t="s">
        <v>358</v>
      </c>
      <c r="E28" s="225" t="s">
        <v>350</v>
      </c>
      <c r="F28" s="23">
        <v>0.0023</v>
      </c>
      <c r="G28" s="281"/>
      <c r="H28" s="883" t="s">
        <v>118</v>
      </c>
      <c r="I28" s="219"/>
      <c r="J28" s="220"/>
      <c r="K28" s="687" t="s">
        <v>362</v>
      </c>
      <c r="L28" s="225" t="s">
        <v>350</v>
      </c>
      <c r="M28" s="23">
        <v>0.0023</v>
      </c>
    </row>
    <row r="29" spans="1:13" ht="18" customHeight="1">
      <c r="A29" s="884" t="s">
        <v>120</v>
      </c>
      <c r="B29" s="287"/>
      <c r="C29" s="287"/>
      <c r="D29" s="688" t="s">
        <v>359</v>
      </c>
      <c r="E29" s="200" t="s">
        <v>372</v>
      </c>
      <c r="F29" s="23">
        <v>0.00025</v>
      </c>
      <c r="G29" s="281"/>
      <c r="H29" s="884" t="s">
        <v>787</v>
      </c>
      <c r="I29" s="287"/>
      <c r="J29" s="287"/>
      <c r="K29" s="688" t="s">
        <v>363</v>
      </c>
      <c r="L29" s="200" t="s">
        <v>372</v>
      </c>
      <c r="M29" s="23">
        <v>0.00025</v>
      </c>
    </row>
    <row r="30" spans="1:13" ht="18" customHeight="1">
      <c r="A30" s="885" t="s">
        <v>119</v>
      </c>
      <c r="B30" s="230"/>
      <c r="C30" s="231"/>
      <c r="D30" s="689" t="s">
        <v>360</v>
      </c>
      <c r="E30" s="225" t="s">
        <v>268</v>
      </c>
      <c r="F30" s="308">
        <f>ROUND(F29/M28,3)</f>
        <v>0.109</v>
      </c>
      <c r="G30" s="281"/>
      <c r="H30" s="885" t="s">
        <v>121</v>
      </c>
      <c r="I30" s="230"/>
      <c r="J30" s="231"/>
      <c r="K30" s="689" t="s">
        <v>364</v>
      </c>
      <c r="L30" s="225" t="s">
        <v>268</v>
      </c>
      <c r="M30" s="308">
        <f>ROUND(M29/M28,3)</f>
        <v>0.109</v>
      </c>
    </row>
    <row r="31" spans="1:13" ht="18" customHeight="1">
      <c r="A31" s="888" t="s">
        <v>119</v>
      </c>
      <c r="B31" s="222"/>
      <c r="C31" s="223"/>
      <c r="D31" s="690" t="s">
        <v>361</v>
      </c>
      <c r="E31" s="225" t="s">
        <v>268</v>
      </c>
      <c r="F31" s="23">
        <v>0.2</v>
      </c>
      <c r="G31" s="281"/>
      <c r="H31" s="888" t="s">
        <v>121</v>
      </c>
      <c r="I31" s="222"/>
      <c r="J31" s="223"/>
      <c r="K31" s="690" t="s">
        <v>365</v>
      </c>
      <c r="L31" s="225" t="s">
        <v>268</v>
      </c>
      <c r="M31" s="23">
        <v>0.1</v>
      </c>
    </row>
    <row r="32" spans="1:13" ht="15">
      <c r="A32" s="281"/>
      <c r="B32" s="281"/>
      <c r="C32" s="281"/>
      <c r="D32" s="281"/>
      <c r="E32" s="281"/>
      <c r="F32" s="281"/>
      <c r="H32" s="281"/>
      <c r="I32" s="281"/>
      <c r="J32" s="281"/>
      <c r="K32" s="281"/>
      <c r="L32" s="281"/>
      <c r="M32" s="281"/>
    </row>
    <row r="33" spans="1:13" ht="15.75">
      <c r="A33" s="281"/>
      <c r="B33" s="281"/>
      <c r="C33" s="898" t="s">
        <v>125</v>
      </c>
      <c r="D33" s="895" t="s">
        <v>681</v>
      </c>
      <c r="E33" s="282"/>
      <c r="F33" s="282"/>
      <c r="G33" s="282"/>
      <c r="H33" s="282"/>
      <c r="I33" s="282"/>
      <c r="J33" s="837" t="s">
        <v>680</v>
      </c>
      <c r="K33" s="282"/>
      <c r="L33" s="281"/>
      <c r="M33" s="281"/>
    </row>
    <row r="34" spans="1:13" ht="18" customHeight="1">
      <c r="A34" s="888" t="s">
        <v>126</v>
      </c>
      <c r="B34" s="222"/>
      <c r="C34" s="223"/>
      <c r="D34" s="684" t="s">
        <v>367</v>
      </c>
      <c r="E34" s="313" t="s">
        <v>371</v>
      </c>
      <c r="F34" s="309">
        <f>ROUND(M7*F17/(3600*F20*M11),3)</f>
        <v>0.17</v>
      </c>
      <c r="G34" s="281"/>
      <c r="H34" s="888" t="s">
        <v>788</v>
      </c>
      <c r="I34" s="222"/>
      <c r="J34" s="223"/>
      <c r="K34" s="684" t="s">
        <v>374</v>
      </c>
      <c r="L34" s="313" t="s">
        <v>371</v>
      </c>
      <c r="M34" s="309">
        <f>ROUND(M8*M17/(3600*M20*M12),3)</f>
        <v>24.449</v>
      </c>
    </row>
    <row r="35" spans="1:13" ht="18" customHeight="1">
      <c r="A35" s="888" t="s">
        <v>131</v>
      </c>
      <c r="B35" s="222"/>
      <c r="C35" s="223"/>
      <c r="D35" s="681" t="s">
        <v>368</v>
      </c>
      <c r="E35" s="313" t="s">
        <v>534</v>
      </c>
      <c r="F35" s="310">
        <f>ROUND(F34*F11/F21,0)</f>
        <v>707</v>
      </c>
      <c r="G35" s="281"/>
      <c r="H35" s="888" t="s">
        <v>789</v>
      </c>
      <c r="I35" s="222"/>
      <c r="J35" s="223"/>
      <c r="K35" s="681" t="s">
        <v>375</v>
      </c>
      <c r="L35" s="313" t="s">
        <v>534</v>
      </c>
      <c r="M35" s="310">
        <f>ROUND(M34*M13/M21,0)</f>
        <v>40125</v>
      </c>
    </row>
    <row r="36" spans="1:13" ht="18" customHeight="1">
      <c r="A36" s="888" t="s">
        <v>682</v>
      </c>
      <c r="B36" s="222"/>
      <c r="C36" s="223"/>
      <c r="D36" s="681" t="s">
        <v>369</v>
      </c>
      <c r="E36" s="313" t="s">
        <v>534</v>
      </c>
      <c r="F36" s="311">
        <f>F19*F20*F21/F22</f>
        <v>31.214285714285708</v>
      </c>
      <c r="G36" s="281"/>
      <c r="H36" s="888" t="s">
        <v>790</v>
      </c>
      <c r="I36" s="222"/>
      <c r="J36" s="223"/>
      <c r="K36" s="681" t="s">
        <v>376</v>
      </c>
      <c r="L36" s="313" t="s">
        <v>534</v>
      </c>
      <c r="M36" s="311">
        <f>M19*M20*M21/M22</f>
        <v>0.6954891304347824</v>
      </c>
    </row>
    <row r="37" spans="1:13" ht="18" customHeight="1">
      <c r="A37" s="888" t="s">
        <v>785</v>
      </c>
      <c r="B37" s="222"/>
      <c r="C37" s="223"/>
      <c r="D37" s="682" t="s">
        <v>370</v>
      </c>
      <c r="E37" s="313" t="s">
        <v>373</v>
      </c>
      <c r="F37" s="312">
        <f>M7*(M9+M10*PI()/2)</f>
        <v>17.805398042820034</v>
      </c>
      <c r="G37" s="281"/>
      <c r="H37" s="888" t="s">
        <v>786</v>
      </c>
      <c r="I37" s="222"/>
      <c r="J37" s="223"/>
      <c r="K37" s="682" t="s">
        <v>377</v>
      </c>
      <c r="L37" s="313" t="s">
        <v>373</v>
      </c>
      <c r="M37" s="312">
        <f>M8*(M9+M10*PI()/2)</f>
        <v>5.935132680940011</v>
      </c>
    </row>
    <row r="38" spans="1:13" ht="18" customHeight="1">
      <c r="A38" s="888" t="s">
        <v>127</v>
      </c>
      <c r="B38" s="222"/>
      <c r="C38" s="223"/>
      <c r="D38" s="295"/>
      <c r="E38" s="718" t="s">
        <v>535</v>
      </c>
      <c r="F38" s="312">
        <f>1+(F11/F37)^(2/3)</f>
        <v>1.0093120549601504</v>
      </c>
      <c r="G38" s="281"/>
      <c r="H38" s="888" t="s">
        <v>127</v>
      </c>
      <c r="I38" s="222"/>
      <c r="J38" s="223"/>
      <c r="K38" s="295"/>
      <c r="L38" s="718" t="s">
        <v>539</v>
      </c>
      <c r="M38" s="312">
        <f>1+(M13/M37)^(2/3)</f>
        <v>1.0279876099717509</v>
      </c>
    </row>
    <row r="39" spans="1:13" ht="18" customHeight="1">
      <c r="A39" s="888" t="s">
        <v>128</v>
      </c>
      <c r="B39" s="222"/>
      <c r="C39" s="223"/>
      <c r="D39" s="295"/>
      <c r="E39" s="718" t="s">
        <v>536</v>
      </c>
      <c r="F39" s="312">
        <f>IF(D16="GAS",IF(F35&lt;2300,1,((F18+273.16)/(F23+273.16))^0.36),(F20*F21/(F24))^0.14)</f>
        <v>0.9022463871493316</v>
      </c>
      <c r="G39" s="281"/>
      <c r="H39" s="888" t="s">
        <v>128</v>
      </c>
      <c r="I39" s="222"/>
      <c r="J39" s="223"/>
      <c r="K39" s="295"/>
      <c r="L39" s="718" t="s">
        <v>540</v>
      </c>
      <c r="M39" s="312">
        <f>IF(K16="GAS",IF(M35&lt;2300,1,((M18+273.16)/(M23+273.16))^0.36),(M20*M21/(M24))^0.14)</f>
        <v>0.979145689852215</v>
      </c>
    </row>
    <row r="40" spans="1:13" ht="18" customHeight="1">
      <c r="A40" s="888" t="s">
        <v>768</v>
      </c>
      <c r="B40" s="222"/>
      <c r="C40" s="223"/>
      <c r="D40" s="685"/>
      <c r="E40" s="740" t="s">
        <v>537</v>
      </c>
      <c r="F40" s="310">
        <f>F35*F36*F11/F37</f>
        <v>19.830840015530274</v>
      </c>
      <c r="G40" s="281"/>
      <c r="H40" s="888" t="s">
        <v>768</v>
      </c>
      <c r="I40" s="222"/>
      <c r="J40" s="223"/>
      <c r="K40" s="685"/>
      <c r="L40" s="740" t="s">
        <v>541</v>
      </c>
      <c r="M40" s="310">
        <f>M35*M36*M13/M37</f>
        <v>130.66344727932537</v>
      </c>
    </row>
    <row r="41" spans="1:13" ht="18" customHeight="1">
      <c r="A41" s="888" t="s">
        <v>129</v>
      </c>
      <c r="B41" s="222"/>
      <c r="C41" s="223"/>
      <c r="D41" s="685"/>
      <c r="E41" s="719" t="s">
        <v>538</v>
      </c>
      <c r="F41" s="314">
        <f>(1.82*LOG(F35)-1.64)^(-2)</f>
        <v>0.0795309954025248</v>
      </c>
      <c r="G41" s="281"/>
      <c r="H41" s="888" t="s">
        <v>791</v>
      </c>
      <c r="I41" s="222"/>
      <c r="J41" s="223"/>
      <c r="K41" s="685"/>
      <c r="L41" s="719" t="s">
        <v>542</v>
      </c>
      <c r="M41" s="314">
        <f>(1.82*LOG(M35)-1.64)^(-2)</f>
        <v>0.022024711198560216</v>
      </c>
    </row>
    <row r="42" spans="1:13" ht="15">
      <c r="A42" s="281"/>
      <c r="B42" s="281"/>
      <c r="C42" s="895" t="s">
        <v>130</v>
      </c>
      <c r="D42" s="895"/>
      <c r="E42" s="900" t="str">
        <f>IF(F35&lt;=2300,"LAMINARNO",IF(F35&gt;4000,"TURBULENTNO","PRELAZNO"))</f>
        <v>LAMINARNO</v>
      </c>
      <c r="F42" s="901"/>
      <c r="G42" s="281"/>
      <c r="H42" s="281"/>
      <c r="I42" s="281"/>
      <c r="J42" s="895" t="s">
        <v>130</v>
      </c>
      <c r="K42" s="895"/>
      <c r="L42" s="900" t="str">
        <f>IF(M35&lt;=2300,"LAMINARNO",IF(M35&gt;4000,"TURBULENTNO","PRELAZNO"))</f>
        <v>TURBULENTNO</v>
      </c>
      <c r="M42" s="901"/>
    </row>
    <row r="43" spans="1:13" ht="16.5" customHeight="1">
      <c r="A43" s="898" t="s">
        <v>144</v>
      </c>
      <c r="B43" s="902" t="s">
        <v>148</v>
      </c>
      <c r="C43" s="903"/>
      <c r="D43" s="904" t="s">
        <v>132</v>
      </c>
      <c r="E43" s="905"/>
      <c r="F43" s="904" t="s">
        <v>124</v>
      </c>
      <c r="G43" s="905"/>
      <c r="H43" s="906" t="s">
        <v>133</v>
      </c>
      <c r="I43" s="929" t="s">
        <v>135</v>
      </c>
      <c r="J43" s="282"/>
      <c r="K43" s="282"/>
      <c r="L43" s="661" t="s">
        <v>543</v>
      </c>
      <c r="M43" s="661" t="s">
        <v>544</v>
      </c>
    </row>
    <row r="44" spans="1:13" ht="16.5" customHeight="1">
      <c r="A44" s="317">
        <v>1</v>
      </c>
      <c r="B44" s="902" t="s">
        <v>137</v>
      </c>
      <c r="C44" s="907">
        <v>2300</v>
      </c>
      <c r="D44" s="928" t="s">
        <v>792</v>
      </c>
      <c r="E44" s="909"/>
      <c r="F44" s="909"/>
      <c r="G44" s="903"/>
      <c r="H44" s="692" t="s">
        <v>380</v>
      </c>
      <c r="I44" s="928" t="s">
        <v>134</v>
      </c>
      <c r="J44" s="294"/>
      <c r="K44" s="315"/>
      <c r="L44" s="309">
        <f>IF(F35&gt;2300,"SOS",(3.657+0.19*F40^0.8/(1+0.117*F40^0.467))*F39)</f>
        <v>4.570121530786229</v>
      </c>
      <c r="M44" s="309" t="str">
        <f>IF(M35&gt;2300,"SOS",(3.657+0.19*M40^0.8/(1+0.117*M40^0.467))*M39)</f>
        <v>SOS</v>
      </c>
    </row>
    <row r="45" spans="1:13" ht="16.5" customHeight="1">
      <c r="A45" s="317">
        <v>2</v>
      </c>
      <c r="B45" s="902" t="s">
        <v>137</v>
      </c>
      <c r="C45" s="910">
        <v>2300</v>
      </c>
      <c r="D45" s="928" t="s">
        <v>792</v>
      </c>
      <c r="E45" s="909"/>
      <c r="F45" s="909"/>
      <c r="G45" s="903"/>
      <c r="H45" s="915" t="s">
        <v>136</v>
      </c>
      <c r="I45" s="928" t="s">
        <v>774</v>
      </c>
      <c r="J45" s="294"/>
      <c r="K45" s="315"/>
      <c r="L45" s="309">
        <f>IF(F35&gt;2300,"SOS",IF(F40&gt;=33.3,1.953*F39*F40^(1/3),(4.364+0.0722*F40)*F39))</f>
        <v>5.229227564858011</v>
      </c>
      <c r="M45" s="309" t="str">
        <f>IF(M35&gt;2300,"SOS",IF(M40&gt;=33.3,1.953*M39*M40^(1/3),(4.364+0.0722*M40)*M39))</f>
        <v>SOS</v>
      </c>
    </row>
    <row r="46" spans="1:13" ht="16.5" customHeight="1">
      <c r="A46" s="317">
        <v>3</v>
      </c>
      <c r="B46" s="902" t="s">
        <v>137</v>
      </c>
      <c r="C46" s="910">
        <v>2300</v>
      </c>
      <c r="D46" s="908" t="s">
        <v>520</v>
      </c>
      <c r="E46" s="909"/>
      <c r="F46" s="909" t="s">
        <v>152</v>
      </c>
      <c r="G46" s="903"/>
      <c r="H46" s="692" t="s">
        <v>380</v>
      </c>
      <c r="I46" s="928" t="s">
        <v>775</v>
      </c>
      <c r="J46" s="294"/>
      <c r="K46" s="315"/>
      <c r="L46" s="309">
        <f>IF(AND(F35&lt;2300,F36&gt;0.7,F36&lt;7),(3.657+0.0677*F40^1.33/(1+0.1*(F40/F36)^0.3))*F39,IF(AND(F35&lt;2300,F36&gt;0,7,F40&lt;33),(3.657+0.0677*F40^1.33/(1+0.1*(F40/F36)^0.3))*F39,"SOS"))</f>
        <v>6.285155978608602</v>
      </c>
      <c r="M46" s="309" t="str">
        <f>IF(AND(M35&lt;2300,M36&gt;0.7,M36&lt;7),(3.657+0.0677*M40^1.33/(1+0.1*(M40/M36)^0.3))*M39,"SOS")</f>
        <v>SOS</v>
      </c>
    </row>
    <row r="47" spans="1:13" ht="16.5" customHeight="1">
      <c r="A47" s="317">
        <v>4</v>
      </c>
      <c r="B47" s="902" t="s">
        <v>137</v>
      </c>
      <c r="C47" s="910">
        <v>2300</v>
      </c>
      <c r="D47" s="908" t="s">
        <v>520</v>
      </c>
      <c r="E47" s="909"/>
      <c r="F47" s="909" t="s">
        <v>138</v>
      </c>
      <c r="G47" s="903"/>
      <c r="H47" s="915" t="s">
        <v>136</v>
      </c>
      <c r="I47" s="928" t="s">
        <v>776</v>
      </c>
      <c r="J47" s="294"/>
      <c r="K47" s="315"/>
      <c r="L47" s="309">
        <f>IF(AND(F35&lt;2300,F36&gt;0.7,F36&lt;7),(4.364+0.086*F40^1.33/(1+0.1*(F40/F36)^0.83))*F39,IF(AND(F35&lt;2300,F36&gt;0.7,F40&lt;33),(4.364+0.086*F40^1.33/(1+0.1*(F40/F36)^0.83))*F39,"SOS"))</f>
        <v>7.796290707602085</v>
      </c>
      <c r="M47" s="309" t="str">
        <f>IF(AND(M35&lt;2300,M36&gt;0.7,M36&lt;7),(4.364+0.086*M40^1.33/(1+0.1*(M40/M36)^0.83))*M39,IF(AND(M35&lt;2300,M36&gt;0.7,M40&lt;33),(4.364+0.086*M40^1.33/(1+0.1*(M40/M36)^0.83))*M39,"SOS"))</f>
        <v>SOS</v>
      </c>
    </row>
    <row r="48" spans="1:13" s="145" customFormat="1" ht="4.5" customHeight="1">
      <c r="A48" s="318"/>
      <c r="B48" s="911"/>
      <c r="C48" s="912"/>
      <c r="D48" s="913"/>
      <c r="E48" s="913"/>
      <c r="F48" s="913"/>
      <c r="G48" s="913"/>
      <c r="H48" s="320"/>
      <c r="I48" s="913"/>
      <c r="J48" s="319"/>
      <c r="K48" s="319"/>
      <c r="L48" s="321"/>
      <c r="M48" s="321"/>
    </row>
    <row r="49" spans="1:13" ht="16.5" customHeight="1">
      <c r="A49" s="317">
        <v>5</v>
      </c>
      <c r="B49" s="914" t="s">
        <v>769</v>
      </c>
      <c r="C49" s="910"/>
      <c r="D49" s="908" t="s">
        <v>521</v>
      </c>
      <c r="E49" s="909"/>
      <c r="F49" s="909"/>
      <c r="G49" s="903"/>
      <c r="H49" s="660" t="s">
        <v>378</v>
      </c>
      <c r="I49" s="928" t="s">
        <v>139</v>
      </c>
      <c r="J49" s="294"/>
      <c r="K49" s="315"/>
      <c r="L49" s="309" t="str">
        <f>IF(AND(F35&gt;2300,F35&lt;10^6,F36&gt;0.5,F36&lt;1000,F11/F37&lt;=1),0.125*F41*(F35-1000)*F36*F38*F39/(1+4.49*F41^0.5*(F36^(2/3)-1)),"SOS")</f>
        <v>SOS</v>
      </c>
      <c r="M49" s="309">
        <f>IF(AND(M35&gt;2300,M35&lt;10^6,M36&gt;0.5,M36&lt;1000,M11/M37&lt;=1),0.125*M41*(M35-1000)*M36*M38*M39/(1+4.49*M41^0.5*(M36^(2/3)-1)),"SOS")</f>
        <v>88.01553697213417</v>
      </c>
    </row>
    <row r="50" spans="1:13" ht="16.5" customHeight="1">
      <c r="A50" s="317">
        <v>6</v>
      </c>
      <c r="B50" s="914" t="s">
        <v>769</v>
      </c>
      <c r="C50" s="910"/>
      <c r="D50" s="908" t="s">
        <v>521</v>
      </c>
      <c r="E50" s="909"/>
      <c r="F50" s="909"/>
      <c r="G50" s="903"/>
      <c r="H50" s="660" t="s">
        <v>379</v>
      </c>
      <c r="I50" s="928" t="s">
        <v>140</v>
      </c>
      <c r="J50" s="294"/>
      <c r="K50" s="315"/>
      <c r="L50" s="309" t="str">
        <f>IF(AND(F35&gt;2300,F35&lt;10^6,F36&gt;0.5,F36&lt;1000,F11/F37&lt;=1),0.0235*(F35^0.8-230)*(1.8*F36^0.3-0.8)*F38*F39,"SOS")</f>
        <v>SOS</v>
      </c>
      <c r="M50" s="309">
        <f>IF(AND(M35&gt;2300,M35&lt;10^6,M36&gt;0.5,M36&lt;1000,M11/M37&lt;=1),0.0235*(M35^0.8-230)*(1.8*M36^0.3-0.8)*M38*M39,"SOS")</f>
        <v>88.33250429421669</v>
      </c>
    </row>
    <row r="51" spans="1:13" ht="16.5" customHeight="1">
      <c r="A51" s="317">
        <v>7</v>
      </c>
      <c r="B51" s="902" t="s">
        <v>141</v>
      </c>
      <c r="C51" s="910">
        <v>10000</v>
      </c>
      <c r="D51" s="908" t="s">
        <v>522</v>
      </c>
      <c r="E51" s="909"/>
      <c r="F51" s="909"/>
      <c r="G51" s="903"/>
      <c r="H51" s="916"/>
      <c r="I51" s="928" t="s">
        <v>142</v>
      </c>
      <c r="J51" s="294"/>
      <c r="K51" s="315"/>
      <c r="L51" s="309" t="str">
        <f>IF(AND(F35&gt;10000,F36&gt;0.7,F36&lt;2500),0.023*F35^0.8*F36^0.4,"SOS")</f>
        <v>SOS</v>
      </c>
      <c r="M51" s="309" t="str">
        <f>IF(AND(M35&gt;10000,M36&gt;0.7,M36&lt;2500),0.023*M35^0.8*M36^0.4,"SOS")</f>
        <v>SOS</v>
      </c>
    </row>
    <row r="52" spans="1:13" ht="16.5" customHeight="1">
      <c r="A52" s="317">
        <v>8</v>
      </c>
      <c r="B52" s="902" t="s">
        <v>141</v>
      </c>
      <c r="C52" s="910">
        <v>10000</v>
      </c>
      <c r="D52" s="928" t="s">
        <v>143</v>
      </c>
      <c r="E52" s="909"/>
      <c r="F52" s="909"/>
      <c r="G52" s="903"/>
      <c r="H52" s="916"/>
      <c r="I52" s="928" t="s">
        <v>772</v>
      </c>
      <c r="J52" s="294"/>
      <c r="K52" s="792"/>
      <c r="L52" s="309" t="str">
        <f>IF(F35&lt;10000,"SOS",1.16*(1210+18*F18-0.038*F18^2)*F34^0.8/F11^0.2)</f>
        <v>SOS</v>
      </c>
      <c r="M52" s="309">
        <f>IF(M35&lt;10000,"SOS",1.16*10^(-3)*(1210+18*M18-0.038*M18^2)*M34^0.8/M13^0.2)</f>
        <v>57.27258845716096</v>
      </c>
    </row>
    <row r="53" spans="1:13" ht="16.5" customHeight="1">
      <c r="A53" s="281"/>
      <c r="B53" s="281"/>
      <c r="C53" s="281"/>
      <c r="D53" s="281"/>
      <c r="E53" s="281"/>
      <c r="F53" s="908" t="s">
        <v>770</v>
      </c>
      <c r="G53" s="294"/>
      <c r="H53" s="917">
        <v>1</v>
      </c>
      <c r="I53" s="895" t="s">
        <v>773</v>
      </c>
      <c r="J53" s="282"/>
      <c r="K53" s="282"/>
      <c r="L53" s="309">
        <f>(3.657+0.19*(2300*F40/F35)^0.8/(1+0.117*(2300*F40/F35)^0.467))*F39*EXP((F35-2300)/730)</f>
        <v>0.6701874743107239</v>
      </c>
      <c r="M53" s="309">
        <f>(3.657+0.19*(2300*M40/M35)^0.8/(1+0.117*(2300*M40/M35)^0.467))*M39*EXP((M35-2300)/730)</f>
        <v>1.368395092380414E+23</v>
      </c>
    </row>
    <row r="54" spans="1:13" ht="16.5" customHeight="1">
      <c r="A54" s="281"/>
      <c r="B54" s="281"/>
      <c r="C54" s="281"/>
      <c r="D54" s="281"/>
      <c r="E54" s="281"/>
      <c r="F54" s="908" t="s">
        <v>771</v>
      </c>
      <c r="G54" s="294"/>
      <c r="H54" s="917">
        <v>5</v>
      </c>
      <c r="I54" s="929" t="s">
        <v>147</v>
      </c>
      <c r="J54" s="282"/>
      <c r="K54" s="282"/>
      <c r="L54" s="309" t="str">
        <f>IF(H54=A49,L49,IF(H54=A50,L50,IF(H54=A51,L51,"SOS")))</f>
        <v>SOS</v>
      </c>
      <c r="M54" s="309">
        <f>IF(H54=A49,M49,IF(H54=A50,M50,IF(H54=A51,M51,"SOS")))</f>
        <v>88.01553697213417</v>
      </c>
    </row>
    <row r="55" spans="1:13" ht="16.5" customHeight="1" thickBot="1">
      <c r="A55" s="322">
        <v>9</v>
      </c>
      <c r="B55" s="904" t="s">
        <v>141</v>
      </c>
      <c r="C55" s="920">
        <v>2300</v>
      </c>
      <c r="D55" s="323"/>
      <c r="E55" s="324"/>
      <c r="F55" s="324"/>
      <c r="G55" s="325"/>
      <c r="H55" s="918"/>
      <c r="I55" s="930" t="s">
        <v>793</v>
      </c>
      <c r="J55" s="286"/>
      <c r="K55" s="316"/>
      <c r="L55" s="326" t="str">
        <f>IF(OR(L53="SOS",L54="SOS"),"SOS",(1/L54^10+1/L53^10)^(-1/10))</f>
        <v>SOS</v>
      </c>
      <c r="M55" s="326">
        <f>IF(OR(M53="SOS",M54="SOS"),"SOS",(1/M54^10+1/M53^10)^(-1/10))</f>
        <v>88.01553697213414</v>
      </c>
    </row>
    <row r="56" spans="1:13" ht="16.5" customHeight="1" thickBot="1">
      <c r="A56" s="146">
        <v>2</v>
      </c>
      <c r="B56" s="327">
        <f>IF(AND(E42="LAMINARNO",OR(A56=A44,A56=A45,A56=A46,A56=A47)),A56,IF(AND(OR(E42="TURBULENTNO",E42="PRELAZNO"),OR(A56=A49,A56=A50,A56=A51,A56=A55)),A56,"SOS"))</f>
        <v>2</v>
      </c>
      <c r="C56" s="695" t="s">
        <v>543</v>
      </c>
      <c r="D56" s="921">
        <f>IF(B56=A44,L44,IF(B56=A45,L45,IF(B56=A46,L46,IF(B56=A47,L47,IF(B56=A49,L49,IF(B56=A50,L50,IF(B56=A51,L51,IF(B56=A55,L55,"SOS"))))))))</f>
        <v>5.229227564858011</v>
      </c>
      <c r="E56" s="694" t="s">
        <v>382</v>
      </c>
      <c r="F56" s="328">
        <f>IF(D56="SOS","SOS",D56*F22/F11)</f>
        <v>0.0457557411925076</v>
      </c>
      <c r="G56" s="281"/>
      <c r="H56" s="146">
        <v>5</v>
      </c>
      <c r="I56" s="327">
        <f>IF(AND(L42="LAMINARNO",OR(H56=A44,H56=A45,H56=A46,H56=A47)),H56,IF(AND(OR(L42="TURBULENTNO",L42="PRELAZNO"),OR(H56=A49,H56=A50,H56=A51,H56=A55)),H56,"SOS"))</f>
        <v>5</v>
      </c>
      <c r="J56" s="695" t="s">
        <v>544</v>
      </c>
      <c r="K56" s="924">
        <f>IF(I56=A44,M44,IF(I56=A45,M45,IF(I56=A46,M46,IF(I56=A47,M47,IF(I56=A49,M49,IF(I56=A50,M50,IF(I56=A51,M51,IF(I56=A55,M55,"SOS"))))))))</f>
        <v>88.01553697213417</v>
      </c>
      <c r="L56" s="694" t="s">
        <v>381</v>
      </c>
      <c r="M56" s="329">
        <f>IF(K56="SOS","SOS",K56*M22/M13)</f>
        <v>0.08741566650878678</v>
      </c>
    </row>
    <row r="57" spans="1:13" ht="16.5" customHeight="1" thickBot="1">
      <c r="A57" s="923" t="str">
        <f>IF(B56=$A44,I44,IF(B56=$A45,I45,IF(B56=$A46,I46,IF(B56=$A47,I47,IF(B56=$A49,I49,IF(B56=$A50,I50,IF(B56=$A51,I51,IF(B56=$A55,I55,"SOS"))))))))</f>
        <v>Šah,  (4.17), (4.18)</v>
      </c>
      <c r="B57" s="330"/>
      <c r="C57" s="331" t="s">
        <v>146</v>
      </c>
      <c r="D57" s="332"/>
      <c r="E57" s="332"/>
      <c r="F57" s="332"/>
      <c r="G57" s="332"/>
      <c r="H57" s="919" t="str">
        <f>IF(H56=$A44,I44,IF(H56=$A45,I45,IF(H56=$A46,I46,IF(H56=$A47,I47,IF(H56=$A49,I49,IF(H56=$A50,I50,IF(H56=$A51,I51,IF(H56=$A55,I55,"SOS"))))))))</f>
        <v>Gnielinski,  (4.26)</v>
      </c>
      <c r="I57" s="330"/>
      <c r="J57" s="919" t="s">
        <v>150</v>
      </c>
      <c r="K57" s="693" t="s">
        <v>145</v>
      </c>
      <c r="L57" s="333" t="s">
        <v>383</v>
      </c>
      <c r="M57" s="925">
        <f>IF(OR(F56="SOS",M56="SOS"),"SOS",1/((F9/F11)*(1/F56+F31)+M27+M31+1/M56))</f>
        <v>0.0275067783005416</v>
      </c>
    </row>
    <row r="58" spans="1:13" ht="15">
      <c r="A58" s="922" t="s">
        <v>794</v>
      </c>
      <c r="B58" s="281"/>
      <c r="C58" s="281"/>
      <c r="D58" s="281"/>
      <c r="E58" s="281"/>
      <c r="F58" s="281"/>
      <c r="G58" s="281"/>
      <c r="H58" s="281"/>
      <c r="I58" s="281"/>
      <c r="J58" s="281"/>
      <c r="K58" s="281"/>
      <c r="L58" s="281"/>
      <c r="M58" s="281"/>
    </row>
    <row r="59" spans="1:13" ht="15">
      <c r="A59" s="281"/>
      <c r="B59" s="281"/>
      <c r="C59" s="163"/>
      <c r="D59" s="281"/>
      <c r="E59" s="281"/>
      <c r="F59" s="281"/>
      <c r="G59" s="281"/>
      <c r="H59" s="281"/>
      <c r="I59" s="281"/>
      <c r="J59" s="281"/>
      <c r="K59" s="281"/>
      <c r="L59" s="281"/>
      <c r="M59" s="281"/>
    </row>
    <row r="63" ht="15">
      <c r="G63" s="791"/>
    </row>
    <row r="64" ht="15">
      <c r="D64" s="790"/>
    </row>
  </sheetData>
  <sheetProtection password="C784" sheet="1" objects="1" scenarios="1"/>
  <dataValidations count="29">
    <dataValidation allowBlank="1" showInputMessage="1" showErrorMessage="1" promptTitle="ZID CEVI REGISTRA" prompt="Uneti debljinu zida cevi registra" sqref="F10"/>
    <dataValidation allowBlank="1" showInputMessage="1" showErrorMessage="1" promptTitle="SPOLJNJI PRECNIK PLASTA" prompt="Uneti precnik ROLOVANOG plasta ili precnik CEVI" sqref="F7"/>
    <dataValidation type="list" allowBlank="1" showInputMessage="1" showErrorMessage="1" promptTitle="SPOLJNJI PRECNIK CEVI REGISTRA" prompt="Uneti precnik cevi iz menija" sqref="F9">
      <formula1>"0,01,0,016,,0,018,0,022,0,025"</formula1>
    </dataValidation>
    <dataValidation allowBlank="1" showInputMessage="1" showErrorMessage="1" promptTitle="PREGRADA zr=6" prompt="Uneti broj reda cevi tako da odnos rupa u SEKCIJAMA bude priblizno isti (100%)" sqref="F14"/>
    <dataValidation type="list" allowBlank="1" showInputMessage="1" showErrorMessage="1" promptTitle="SMER TOLOTNOG FLUKSA" prompt="Uneti vrednost iz menija" sqref="F16">
      <formula1>"PRIMAR, SEKUNDAR"</formula1>
    </dataValidation>
    <dataValidation type="list" allowBlank="1" showInputMessage="1" showErrorMessage="1" promptTitle="BROJ PROLAZA FLUIDA U REGISTRU" prompt="Uneti vrednost iz menija" sqref="M7">
      <formula1>"1,2,4,6,8"</formula1>
    </dataValidation>
    <dataValidation type="list" allowBlank="1" showInputMessage="1" showErrorMessage="1" promptTitle="BROJ PROLAZA FLUIDA U OMOTACU" prompt="Uneti vrednost iz menija" sqref="M8">
      <formula1>"1,2,4"</formula1>
    </dataValidation>
    <dataValidation allowBlank="1" showInputMessage="1" showErrorMessage="1" prompt="Debljina zaprljanja&#10;Opcioni podatak, ako nisu zadati otpori zaprljanja" sqref="M29 F29"/>
    <dataValidation allowBlank="1" showInputMessage="1" showErrorMessage="1" promptTitle="USVOJEN OTPOR ZAPRLJANJU OMOT." prompt="Obavezan podatak&#10;prema zahtevu, preporukama ili proracunu" sqref="M31"/>
    <dataValidation allowBlank="1" showInputMessage="1" showErrorMessage="1" promptTitle="ITERACIJE" prompt="AUTOMATSKI: Uneti polje racunske vrednosti.&#10;RUCNO:         Uneti vrednost iz polja, postepeno iterirati&#10;VAZNO:          Ako Excel padne, uneti proizvoljne vrednosti pa ponoviti automatski ili rucni rad" sqref="F23 M23"/>
    <dataValidation type="list" allowBlank="1" showInputMessage="1" showErrorMessage="1" promptTitle="STANJE FLUIDA U OMOTACU" prompt="Uneti vrednost iz menija" sqref="K16">
      <formula1>"TECNOST, GAS"</formula1>
    </dataValidation>
    <dataValidation type="list" allowBlank="1" showInputMessage="1" showErrorMessage="1" prompt="Uzeti iz menija" sqref="H54">
      <formula1>"5,6,7"</formula1>
    </dataValidation>
    <dataValidation type="list" allowBlank="1" showInputMessage="1" showErrorMessage="1" prompt="Uzeti iz menija" sqref="A56 H56">
      <formula1>"1,2,3,4,5,6,7,9"</formula1>
    </dataValidation>
    <dataValidation type="list" allowBlank="1" showInputMessage="1" showErrorMessage="1" promptTitle="UZETI IZ MENIJA" sqref="H53">
      <formula1>"1"</formula1>
    </dataValidation>
    <dataValidation allowBlank="1" showInputMessage="1" showErrorMessage="1" promptTitle="DEBLJINA DIJAFRAGME" prompt="Uneti debljinu dijafragme u omotacu" sqref="F8"/>
    <dataValidation allowBlank="1" showInputMessage="1" showErrorMessage="1" promptTitle="BROJ OTVORA U CEVNOJ PLOCI" prompt="Iz geometrije uneti ukupan broj otvora u ploci cevnog registra" sqref="F12"/>
    <dataValidation allowBlank="1" showInputMessage="1" showErrorMessage="1" promptTitle="DUZINA PRAVOG DELA REGISTRA" prompt="Uneti duzinu pravog dela registra" sqref="M9"/>
    <dataValidation type="list" allowBlank="1" showInputMessage="1" showErrorMessage="1" promptTitle="STANJE FLUIDA U REGISTRU" prompt="Uneti vrednost iz menija" sqref="D16">
      <formula1>"TECNOST, GAS"</formula1>
    </dataValidation>
    <dataValidation allowBlank="1" showInputMessage="1" showErrorMessage="1" promptTitle="REZIM U REGISTRU" prompt="Obavezan podatak" sqref="F17:F18"/>
    <dataValidation allowBlank="1" showInputMessage="1" showErrorMessage="1" promptTitle="REZIM U OMOTACU" prompt="Obavezan podatak" sqref="M17:M18"/>
    <dataValidation allowBlank="1" showInputMessage="1" showErrorMessage="1" promptTitle="VELICINE STANJA" prompt="Svojstva fluida u registru" sqref="F19:F22"/>
    <dataValidation allowBlank="1" showInputMessage="1" showErrorMessage="1" promptTitle="VELICINE STANJA" prompt="Svojstva fluida u omotacu" sqref="M19:M22"/>
    <dataValidation allowBlank="1" showInputMessage="1" showErrorMessage="1" prompt="Svojstvo fluida na temperaturi zida registra" sqref="F24"/>
    <dataValidation allowBlank="1" showInputMessage="1" showErrorMessage="1" prompt="Svojstvo fluida na temperaturi zida omotaca" sqref="M24"/>
    <dataValidation allowBlank="1" showInputMessage="1" showErrorMessage="1" promptTitle="USVOJEN OTPOR ZAPRLJANJU REG." prompt="Obavezan podatak&#10;prema zahtevu, preporukama ili proracunu" sqref="F31"/>
    <dataValidation allowBlank="1" showInputMessage="1" showErrorMessage="1" prompt="Toplotna provodljivost zaprljanja unutar cevi registra&#10;Opcioni podatak ako nije zadat otpor zaprljanja" sqref="F28"/>
    <dataValidation allowBlank="1" showInputMessage="1" showErrorMessage="1" prompt="Obavezan podatak&#10;Toplotna provodljivost zida cevi registra" sqref="F27"/>
    <dataValidation allowBlank="1" showInputMessage="1" showErrorMessage="1" prompt="Toplotna provodljivost zaprljanja na cevi sa strane omotaca&#10;Opcioni podatak, ako nisu zadati otpori zaprljanja" sqref="M28"/>
    <dataValidation allowBlank="1" showInputMessage="1" showErrorMessage="1" prompt="Neobavezan podatak o materijalu cevi" sqref="D9"/>
  </dataValidations>
  <printOptions/>
  <pageMargins left="0.75" right="0.25" top="0.6" bottom="0.2" header="0.5" footer="0.5"/>
  <pageSetup horizontalDpi="600" verticalDpi="60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H94"/>
  <sheetViews>
    <sheetView showGridLines="0" workbookViewId="0" topLeftCell="A1">
      <selection activeCell="M17" sqref="M17"/>
    </sheetView>
  </sheetViews>
  <sheetFormatPr defaultColWidth="9.140625" defaultRowHeight="12.75"/>
  <cols>
    <col min="1" max="4" width="9.00390625" style="34" customWidth="1"/>
    <col min="5" max="5" width="10.7109375" style="40" customWidth="1"/>
    <col min="6" max="6" width="9.00390625" style="34" customWidth="1"/>
    <col min="7" max="7" width="6.7109375" style="34" customWidth="1"/>
    <col min="8" max="11" width="9.00390625" style="34" customWidth="1"/>
    <col min="12" max="12" width="10.7109375" style="34" customWidth="1"/>
    <col min="13" max="13" width="9.00390625" style="34" customWidth="1"/>
    <col min="14" max="16384" width="9.140625" style="34" customWidth="1"/>
  </cols>
  <sheetData>
    <row r="1" s="75" customFormat="1" ht="12.75">
      <c r="M1" s="658" t="str">
        <f>GEOMETRIJA!M1</f>
        <v>ver.: v2, jun 2002.</v>
      </c>
    </row>
    <row r="2" s="75" customFormat="1" ht="12.75"/>
    <row r="3" s="75" customFormat="1" ht="12.75"/>
    <row r="4" s="75" customFormat="1" ht="12.75"/>
    <row r="5" spans="5:6" s="75" customFormat="1" ht="12.75" customHeight="1">
      <c r="E5" s="147"/>
      <c r="F5" s="77"/>
    </row>
    <row r="6" spans="5:13" s="75" customFormat="1" ht="12.75" customHeight="1">
      <c r="E6" s="147"/>
      <c r="F6" s="77"/>
      <c r="M6" s="713"/>
    </row>
    <row r="7" spans="5:13" s="75" customFormat="1" ht="12.75" customHeight="1">
      <c r="E7" s="147"/>
      <c r="F7" s="77"/>
      <c r="M7" s="714"/>
    </row>
    <row r="8" spans="1:13" s="39" customFormat="1" ht="15">
      <c r="A8" s="180"/>
      <c r="B8" s="205" t="s">
        <v>101</v>
      </c>
      <c r="C8" s="932" t="s">
        <v>14</v>
      </c>
      <c r="D8" s="933"/>
      <c r="E8" s="205"/>
      <c r="F8" s="206"/>
      <c r="G8" s="207"/>
      <c r="H8" s="207"/>
      <c r="I8" s="207"/>
      <c r="J8" s="207"/>
      <c r="K8" s="207"/>
      <c r="L8" s="207"/>
      <c r="M8" s="180"/>
    </row>
    <row r="9" spans="1:13" s="148" customFormat="1" ht="15.75" customHeight="1">
      <c r="A9" s="883" t="s">
        <v>16</v>
      </c>
      <c r="B9" s="227"/>
      <c r="C9" s="227"/>
      <c r="D9" s="707"/>
      <c r="E9" s="42" t="s">
        <v>69</v>
      </c>
      <c r="F9" s="162" t="s">
        <v>67</v>
      </c>
      <c r="G9" s="211"/>
      <c r="H9" s="938" t="s">
        <v>845</v>
      </c>
      <c r="I9" s="540"/>
      <c r="J9" s="540"/>
      <c r="K9" s="709" t="s">
        <v>415</v>
      </c>
      <c r="L9" s="89">
        <v>4.178</v>
      </c>
      <c r="M9" s="215" t="s">
        <v>523</v>
      </c>
    </row>
    <row r="10" spans="1:13" s="148" customFormat="1" ht="15.75" customHeight="1">
      <c r="A10" s="888" t="s">
        <v>186</v>
      </c>
      <c r="B10" s="213"/>
      <c r="C10" s="213"/>
      <c r="D10" s="690" t="s">
        <v>425</v>
      </c>
      <c r="E10" s="706">
        <v>50</v>
      </c>
      <c r="F10" s="32">
        <v>52.05</v>
      </c>
      <c r="G10" s="211"/>
      <c r="H10" s="938" t="s">
        <v>846</v>
      </c>
      <c r="I10" s="540"/>
      <c r="J10" s="540"/>
      <c r="K10" s="710" t="s">
        <v>416</v>
      </c>
      <c r="L10" s="89">
        <v>0.000647</v>
      </c>
      <c r="M10" s="941" t="s">
        <v>15</v>
      </c>
    </row>
    <row r="11" spans="1:13" s="148" customFormat="1" ht="15.75" customHeight="1">
      <c r="A11" s="936" t="s">
        <v>806</v>
      </c>
      <c r="B11" s="213"/>
      <c r="C11" s="213"/>
      <c r="D11" s="708" t="s">
        <v>426</v>
      </c>
      <c r="E11" s="89">
        <v>988.1</v>
      </c>
      <c r="F11" s="81">
        <v>987.1</v>
      </c>
      <c r="G11" s="211"/>
      <c r="H11" s="938" t="s">
        <v>174</v>
      </c>
      <c r="I11" s="540"/>
      <c r="J11" s="540"/>
      <c r="K11" s="711" t="s">
        <v>417</v>
      </c>
      <c r="L11" s="89">
        <v>26000</v>
      </c>
      <c r="M11" s="245" t="s">
        <v>545</v>
      </c>
    </row>
    <row r="12" spans="1:13" s="148" customFormat="1" ht="15.75" customHeight="1">
      <c r="A12" s="936" t="s">
        <v>807</v>
      </c>
      <c r="B12" s="213"/>
      <c r="C12" s="213"/>
      <c r="D12" s="708" t="s">
        <v>427</v>
      </c>
      <c r="E12" s="89">
        <f>5.558*10^-7</f>
        <v>5.557999999999999E-07</v>
      </c>
      <c r="F12" s="1132">
        <v>5.4E-07</v>
      </c>
      <c r="G12" s="211"/>
      <c r="H12" s="936" t="s">
        <v>847</v>
      </c>
      <c r="I12" s="213"/>
      <c r="J12" s="213"/>
      <c r="K12" s="712" t="s">
        <v>418</v>
      </c>
      <c r="L12" s="610">
        <f>IF(F10="",1,E11*E12/(F11*F12))</f>
        <v>1.0303019694803708</v>
      </c>
      <c r="M12" s="216">
        <f>E12*E11*L9/L10</f>
        <v>3.5463663438021635</v>
      </c>
    </row>
    <row r="13" spans="1:13" s="148" customFormat="1" ht="15.75" customHeight="1">
      <c r="A13" s="937"/>
      <c r="B13" s="205" t="s">
        <v>102</v>
      </c>
      <c r="C13" s="932" t="s">
        <v>801</v>
      </c>
      <c r="D13" s="204"/>
      <c r="E13" s="205"/>
      <c r="F13" s="206"/>
      <c r="G13" s="207"/>
      <c r="H13" s="207"/>
      <c r="I13" s="207"/>
      <c r="J13" s="207"/>
      <c r="K13" s="207"/>
      <c r="L13" s="207"/>
      <c r="M13" s="180"/>
    </row>
    <row r="14" spans="1:15" s="148" customFormat="1" ht="15.75" customHeight="1">
      <c r="A14" s="883" t="s">
        <v>747</v>
      </c>
      <c r="B14" s="219"/>
      <c r="C14" s="220"/>
      <c r="D14" s="221"/>
      <c r="E14" s="690" t="s">
        <v>447</v>
      </c>
      <c r="F14" s="81">
        <v>0.49</v>
      </c>
      <c r="G14" s="211"/>
      <c r="H14" s="888" t="s">
        <v>754</v>
      </c>
      <c r="I14" s="222"/>
      <c r="J14" s="223"/>
      <c r="K14" s="224"/>
      <c r="L14" s="722" t="s">
        <v>450</v>
      </c>
      <c r="M14" s="226">
        <f>F14/2-E19-(F26-1)*E18</f>
        <v>0.11399999999999999</v>
      </c>
      <c r="O14" s="149"/>
    </row>
    <row r="15" spans="1:13" s="73" customFormat="1" ht="15.75" customHeight="1">
      <c r="A15" s="938" t="s">
        <v>749</v>
      </c>
      <c r="B15" s="227"/>
      <c r="C15" s="227"/>
      <c r="D15" s="136" t="s">
        <v>277</v>
      </c>
      <c r="E15" s="682" t="s">
        <v>448</v>
      </c>
      <c r="F15" s="81">
        <v>0.018</v>
      </c>
      <c r="H15" s="936" t="s">
        <v>848</v>
      </c>
      <c r="I15" s="209"/>
      <c r="J15" s="209"/>
      <c r="K15" s="228"/>
      <c r="L15" s="682" t="s">
        <v>419</v>
      </c>
      <c r="M15" s="229">
        <f>4*F23*M31/(F25*F15*PI()+F14*PI()*M27/360+F14*SIN(M27*PI()/360))</f>
        <v>0.022075818592806006</v>
      </c>
    </row>
    <row r="16" spans="1:86" s="75" customFormat="1" ht="15.75" customHeight="1">
      <c r="A16" s="885" t="s">
        <v>777</v>
      </c>
      <c r="B16" s="230"/>
      <c r="C16" s="231"/>
      <c r="D16" s="232"/>
      <c r="E16" s="682" t="s">
        <v>449</v>
      </c>
      <c r="F16" s="81">
        <v>0.016</v>
      </c>
      <c r="H16" s="936" t="s">
        <v>850</v>
      </c>
      <c r="I16" s="209"/>
      <c r="J16" s="209"/>
      <c r="K16" s="228"/>
      <c r="L16" s="682" t="s">
        <v>546</v>
      </c>
      <c r="M16" s="216">
        <f>F20-F26+0.5</f>
        <v>7.5</v>
      </c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</row>
    <row r="17" spans="1:86" s="75" customFormat="1" ht="15.75" customHeight="1">
      <c r="A17" s="884" t="s">
        <v>0</v>
      </c>
      <c r="B17" s="233"/>
      <c r="C17" s="234"/>
      <c r="D17" s="934" t="s">
        <v>802</v>
      </c>
      <c r="E17" s="235"/>
      <c r="F17" s="43">
        <v>1</v>
      </c>
      <c r="G17" s="211"/>
      <c r="H17" s="936" t="s">
        <v>851</v>
      </c>
      <c r="I17" s="209"/>
      <c r="J17" s="209"/>
      <c r="K17" s="228"/>
      <c r="L17" s="682" t="s">
        <v>547</v>
      </c>
      <c r="M17" s="229">
        <f>IF(0.8*M14/E18&lt;2*(F20-M20/2),0.8*M14/E18,2*(F20-M20/2))</f>
        <v>7.015384615384616</v>
      </c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</row>
    <row r="18" spans="1:85" s="75" customFormat="1" ht="15.75" customHeight="1">
      <c r="A18" s="883" t="s">
        <v>171</v>
      </c>
      <c r="B18" s="219"/>
      <c r="C18" s="220"/>
      <c r="D18" s="715" t="s">
        <v>420</v>
      </c>
      <c r="E18" s="89">
        <v>0.013</v>
      </c>
      <c r="F18" s="81">
        <v>0.0195</v>
      </c>
      <c r="G18" s="211"/>
      <c r="H18" s="936" t="s">
        <v>852</v>
      </c>
      <c r="I18" s="209"/>
      <c r="J18" s="209"/>
      <c r="K18" s="228"/>
      <c r="L18" s="722" t="s">
        <v>423</v>
      </c>
      <c r="M18" s="229">
        <f>ROUND((F23*(F32-0.05-IF(D15="U cev",1,2)*0.05)-F27*F29)/F27,3)</f>
        <v>0.242</v>
      </c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</row>
    <row r="19" spans="1:86" s="75" customFormat="1" ht="15.75" customHeight="1">
      <c r="A19" s="885" t="s">
        <v>809</v>
      </c>
      <c r="B19" s="230"/>
      <c r="C19" s="231"/>
      <c r="D19" s="689" t="s">
        <v>421</v>
      </c>
      <c r="E19" s="95">
        <v>0.014</v>
      </c>
      <c r="F19" s="88">
        <v>0.0225</v>
      </c>
      <c r="G19" s="211"/>
      <c r="H19" s="936" t="s">
        <v>853</v>
      </c>
      <c r="I19" s="209"/>
      <c r="J19" s="209"/>
      <c r="K19" s="228"/>
      <c r="L19" s="722" t="s">
        <v>424</v>
      </c>
      <c r="M19" s="236">
        <f>IF(M18&gt;2.5*M38/1000,M18,ROUND(2.5*M38/1000,3))</f>
        <v>0.25</v>
      </c>
      <c r="N19" s="150"/>
      <c r="O19" s="151"/>
      <c r="P19" s="152"/>
      <c r="Q19" s="15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</row>
    <row r="20" spans="1:13" s="75" customFormat="1" ht="15.75" customHeight="1">
      <c r="A20" s="884" t="s">
        <v>80</v>
      </c>
      <c r="B20" s="233"/>
      <c r="C20" s="234"/>
      <c r="D20" s="237"/>
      <c r="E20" s="682" t="s">
        <v>583</v>
      </c>
      <c r="F20" s="81">
        <v>17</v>
      </c>
      <c r="G20" s="211"/>
      <c r="H20" s="888" t="s">
        <v>854</v>
      </c>
      <c r="I20" s="222"/>
      <c r="J20" s="223"/>
      <c r="K20" s="238"/>
      <c r="L20" s="682" t="s">
        <v>548</v>
      </c>
      <c r="M20" s="216">
        <f>2*F26-IF(F22=1,-1,IF(F22=2,-1,IF(F22=4,0,IF(F22=6,1,2))))</f>
        <v>19</v>
      </c>
    </row>
    <row r="21" spans="1:13" s="75" customFormat="1" ht="15.75" customHeight="1">
      <c r="A21" s="885" t="s">
        <v>81</v>
      </c>
      <c r="B21" s="230"/>
      <c r="C21" s="231"/>
      <c r="D21" s="239"/>
      <c r="E21" s="682" t="s">
        <v>584</v>
      </c>
      <c r="F21" s="81">
        <v>11</v>
      </c>
      <c r="G21" s="240"/>
      <c r="H21" s="888" t="s">
        <v>190</v>
      </c>
      <c r="I21" s="222"/>
      <c r="J21" s="223"/>
      <c r="K21" s="238"/>
      <c r="L21" s="682" t="s">
        <v>549</v>
      </c>
      <c r="M21" s="216">
        <f>F20+F26-0.5+IF(F23=1,1,0)</f>
        <v>26.5</v>
      </c>
    </row>
    <row r="22" spans="1:17" s="75" customFormat="1" ht="15.75" customHeight="1">
      <c r="A22" s="884" t="s">
        <v>97</v>
      </c>
      <c r="B22" s="233"/>
      <c r="C22" s="234"/>
      <c r="D22" s="237"/>
      <c r="E22" s="682" t="s">
        <v>585</v>
      </c>
      <c r="F22" s="81">
        <v>6</v>
      </c>
      <c r="G22" s="241"/>
      <c r="H22" s="272"/>
      <c r="I22" s="242"/>
      <c r="J22" s="242"/>
      <c r="K22" s="242"/>
      <c r="L22" s="242"/>
      <c r="M22" s="242"/>
      <c r="N22" s="150"/>
      <c r="O22" s="154"/>
      <c r="P22" s="155"/>
      <c r="Q22" s="156"/>
    </row>
    <row r="23" spans="1:16" s="75" customFormat="1" ht="15.75" customHeight="1">
      <c r="A23" s="885" t="s">
        <v>741</v>
      </c>
      <c r="B23" s="230"/>
      <c r="C23" s="231"/>
      <c r="D23" s="239"/>
      <c r="E23" s="682" t="s">
        <v>586</v>
      </c>
      <c r="F23" s="81">
        <v>2</v>
      </c>
      <c r="G23" s="243"/>
      <c r="H23" s="936" t="s">
        <v>849</v>
      </c>
      <c r="I23" s="209"/>
      <c r="J23" s="209"/>
      <c r="K23" s="228"/>
      <c r="L23" s="722" t="s">
        <v>431</v>
      </c>
      <c r="M23" s="229">
        <f>2*F30-F15</f>
        <v>0.010000000000000002</v>
      </c>
      <c r="N23" s="150"/>
      <c r="O23" s="157"/>
      <c r="P23" s="158"/>
    </row>
    <row r="24" spans="1:13" s="75" customFormat="1" ht="15.75" customHeight="1">
      <c r="A24" s="886" t="s">
        <v>743</v>
      </c>
      <c r="B24" s="230"/>
      <c r="C24" s="231"/>
      <c r="D24" s="244"/>
      <c r="E24" s="722" t="s">
        <v>422</v>
      </c>
      <c r="F24" s="81">
        <v>282</v>
      </c>
      <c r="G24" s="243"/>
      <c r="H24" s="936" t="s">
        <v>192</v>
      </c>
      <c r="I24" s="209"/>
      <c r="J24" s="209"/>
      <c r="K24" s="228"/>
      <c r="L24" s="722" t="s">
        <v>432</v>
      </c>
      <c r="M24" s="246">
        <f>2*F19-F15-F29</f>
        <v>0.024</v>
      </c>
    </row>
    <row r="25" spans="1:16" s="75" customFormat="1" ht="15.75" customHeight="1">
      <c r="A25" s="888" t="s">
        <v>756</v>
      </c>
      <c r="B25" s="222"/>
      <c r="C25" s="223"/>
      <c r="D25" s="238"/>
      <c r="E25" s="682" t="s">
        <v>587</v>
      </c>
      <c r="F25" s="81">
        <v>50</v>
      </c>
      <c r="G25" s="243"/>
      <c r="H25" s="936" t="s">
        <v>855</v>
      </c>
      <c r="I25" s="209"/>
      <c r="J25" s="209"/>
      <c r="K25" s="228"/>
      <c r="L25" s="722" t="s">
        <v>433</v>
      </c>
      <c r="M25" s="81">
        <v>0.001</v>
      </c>
      <c r="N25" s="150"/>
      <c r="O25" s="159"/>
      <c r="P25" s="160"/>
    </row>
    <row r="26" spans="1:15" s="75" customFormat="1" ht="15.75" customHeight="1">
      <c r="A26" s="888" t="s">
        <v>753</v>
      </c>
      <c r="B26" s="222"/>
      <c r="C26" s="223"/>
      <c r="D26" s="238"/>
      <c r="E26" s="682" t="s">
        <v>588</v>
      </c>
      <c r="F26" s="81">
        <v>10</v>
      </c>
      <c r="G26" s="242"/>
      <c r="H26" s="936" t="s">
        <v>856</v>
      </c>
      <c r="I26" s="209"/>
      <c r="J26" s="209"/>
      <c r="K26" s="228"/>
      <c r="L26" s="722" t="s">
        <v>434</v>
      </c>
      <c r="M26" s="229">
        <f>IF(M23&lt;0.004,0.004,M23/2)</f>
        <v>0.005000000000000001</v>
      </c>
      <c r="N26" s="150"/>
      <c r="O26" s="157"/>
    </row>
    <row r="27" spans="1:13" s="75" customFormat="1" ht="15.75" customHeight="1">
      <c r="A27" s="936" t="s">
        <v>810</v>
      </c>
      <c r="B27" s="213"/>
      <c r="C27" s="213"/>
      <c r="D27" s="238"/>
      <c r="E27" s="682" t="s">
        <v>589</v>
      </c>
      <c r="F27" s="81">
        <v>20</v>
      </c>
      <c r="G27" s="247"/>
      <c r="H27" s="936" t="s">
        <v>857</v>
      </c>
      <c r="I27" s="209"/>
      <c r="J27" s="209"/>
      <c r="K27" s="228"/>
      <c r="L27" s="684" t="s">
        <v>451</v>
      </c>
      <c r="M27" s="248">
        <f>ROUND((180/PI())*2*ACOS((F14-2*M14)/F14),1)</f>
        <v>115.4</v>
      </c>
    </row>
    <row r="28" spans="1:13" s="75" customFormat="1" ht="15.75" customHeight="1">
      <c r="A28" s="936" t="s">
        <v>811</v>
      </c>
      <c r="B28" s="213"/>
      <c r="C28" s="213"/>
      <c r="D28" s="238"/>
      <c r="E28" s="682" t="s">
        <v>601</v>
      </c>
      <c r="F28" s="81">
        <v>0</v>
      </c>
      <c r="G28" s="243"/>
      <c r="H28" s="936" t="s">
        <v>858</v>
      </c>
      <c r="I28" s="209"/>
      <c r="J28" s="209"/>
      <c r="K28" s="228"/>
      <c r="L28" s="682" t="s">
        <v>435</v>
      </c>
      <c r="M28" s="248">
        <f>PI()*(F14-M26/2)*M26*(360-M27)/(2*360*F23)</f>
        <v>0.0013007338958183367</v>
      </c>
    </row>
    <row r="29" spans="1:13" s="75" customFormat="1" ht="15.75" customHeight="1">
      <c r="A29" s="883" t="s">
        <v>193</v>
      </c>
      <c r="B29" s="219"/>
      <c r="C29" s="220"/>
      <c r="D29" s="221"/>
      <c r="E29" s="721" t="s">
        <v>428</v>
      </c>
      <c r="F29" s="81">
        <v>0.003</v>
      </c>
      <c r="G29" s="242"/>
      <c r="H29" s="936" t="s">
        <v>859</v>
      </c>
      <c r="I29" s="209"/>
      <c r="J29" s="209"/>
      <c r="K29" s="228"/>
      <c r="L29" s="682" t="s">
        <v>436</v>
      </c>
      <c r="M29" s="248">
        <f>PI()*(F24-F25)*((F15+M25)^2-F15^2)/(4*F23)</f>
        <v>0.0033709289173018513</v>
      </c>
    </row>
    <row r="30" spans="1:13" s="75" customFormat="1" ht="15.75" customHeight="1">
      <c r="A30" s="884" t="s">
        <v>808</v>
      </c>
      <c r="B30" s="233"/>
      <c r="C30" s="234"/>
      <c r="D30" s="237"/>
      <c r="E30" s="721" t="s">
        <v>445</v>
      </c>
      <c r="F30" s="81">
        <v>0.014</v>
      </c>
      <c r="G30" s="242"/>
      <c r="H30" s="936" t="s">
        <v>860</v>
      </c>
      <c r="I30" s="209"/>
      <c r="J30" s="209"/>
      <c r="K30" s="228"/>
      <c r="L30" s="682" t="s">
        <v>437</v>
      </c>
      <c r="M30" s="248">
        <f>M18*(M23+M24)/F23</f>
        <v>0.0041140000000000005</v>
      </c>
    </row>
    <row r="31" spans="1:13" s="75" customFormat="1" ht="15.75" customHeight="1">
      <c r="A31" s="885" t="s">
        <v>812</v>
      </c>
      <c r="B31" s="230"/>
      <c r="C31" s="231"/>
      <c r="D31" s="249"/>
      <c r="E31" s="721" t="s">
        <v>429</v>
      </c>
      <c r="F31" s="216">
        <f>MIN(2*F18-F15,2*E18-F15,(E18^2+F18^2)^0.5-F15)</f>
        <v>0.005436083290515932</v>
      </c>
      <c r="G31" s="242"/>
      <c r="H31" s="936" t="s">
        <v>861</v>
      </c>
      <c r="I31" s="209"/>
      <c r="J31" s="209"/>
      <c r="K31" s="228"/>
      <c r="L31" s="682" t="s">
        <v>438</v>
      </c>
      <c r="M31" s="248">
        <f>(PI()*M27*F14^2/(4*360)-F14^2*SIN(M27*PI()/180)/8)/F23-F25*F15^2*PI()/(4*F23)</f>
        <v>0.010306837177202615</v>
      </c>
    </row>
    <row r="32" spans="1:15" s="75" customFormat="1" ht="15.75" customHeight="1">
      <c r="A32" s="884" t="s">
        <v>778</v>
      </c>
      <c r="B32" s="233"/>
      <c r="C32" s="234"/>
      <c r="D32" s="237"/>
      <c r="E32" s="682" t="s">
        <v>446</v>
      </c>
      <c r="F32" s="81">
        <v>2.6</v>
      </c>
      <c r="G32" s="242"/>
      <c r="H32" s="242"/>
      <c r="I32" s="242"/>
      <c r="J32" s="242"/>
      <c r="K32" s="242"/>
      <c r="L32" s="242"/>
      <c r="M32" s="242"/>
      <c r="N32" s="150"/>
      <c r="O32" s="161"/>
    </row>
    <row r="33" spans="1:13" s="75" customFormat="1" ht="15.75" customHeight="1">
      <c r="A33" s="939" t="s">
        <v>779</v>
      </c>
      <c r="B33" s="250"/>
      <c r="C33" s="250"/>
      <c r="D33" s="232"/>
      <c r="E33" s="682" t="s">
        <v>430</v>
      </c>
      <c r="F33" s="81">
        <v>0.2175</v>
      </c>
      <c r="G33" s="242"/>
      <c r="H33" s="242"/>
      <c r="I33" s="242"/>
      <c r="J33" s="242"/>
      <c r="K33" s="242"/>
      <c r="L33" s="242"/>
      <c r="M33" s="242"/>
    </row>
    <row r="34" spans="1:13" s="74" customFormat="1" ht="15.75" customHeight="1">
      <c r="A34" s="888" t="s">
        <v>813</v>
      </c>
      <c r="B34" s="222"/>
      <c r="C34" s="223"/>
      <c r="D34" s="238"/>
      <c r="E34" s="682" t="s">
        <v>453</v>
      </c>
      <c r="F34" s="216">
        <f>IF(D15="U cev",F33*PI()/2,0)+F23*F32</f>
        <v>5.2</v>
      </c>
      <c r="G34" s="241"/>
      <c r="H34" s="241"/>
      <c r="I34" s="241"/>
      <c r="J34" s="241"/>
      <c r="K34" s="241"/>
      <c r="L34" s="241"/>
      <c r="M34" s="241"/>
    </row>
    <row r="35" spans="1:13" s="74" customFormat="1" ht="15.75" customHeight="1">
      <c r="A35" s="241"/>
      <c r="B35" s="205" t="s">
        <v>113</v>
      </c>
      <c r="C35" s="932" t="s">
        <v>803</v>
      </c>
      <c r="D35" s="204"/>
      <c r="E35" s="205"/>
      <c r="F35" s="206"/>
      <c r="G35" s="207"/>
      <c r="H35" s="207"/>
      <c r="I35" s="207"/>
      <c r="J35" s="207"/>
      <c r="K35" s="207"/>
      <c r="L35" s="128">
        <v>100</v>
      </c>
      <c r="M35" s="241" t="s">
        <v>27</v>
      </c>
    </row>
    <row r="36" spans="1:13" s="74" customFormat="1" ht="15.75" customHeight="1">
      <c r="A36" s="888" t="s">
        <v>181</v>
      </c>
      <c r="B36" s="222"/>
      <c r="C36" s="223"/>
      <c r="D36" s="238"/>
      <c r="E36" s="724" t="s">
        <v>550</v>
      </c>
      <c r="F36" s="139">
        <f>M37</f>
        <v>180827.9967262358</v>
      </c>
      <c r="G36" s="241"/>
      <c r="H36" s="936" t="s">
        <v>862</v>
      </c>
      <c r="I36" s="209"/>
      <c r="J36" s="209"/>
      <c r="K36" s="228"/>
      <c r="L36" s="723" t="s">
        <v>439</v>
      </c>
      <c r="M36" s="229">
        <f>4*(L11/(3600*E11))/(PI()*F38^2)</f>
        <v>1.085396359196284</v>
      </c>
    </row>
    <row r="37" spans="1:13" s="74" customFormat="1" ht="15.75" customHeight="1">
      <c r="A37" s="888" t="s">
        <v>26</v>
      </c>
      <c r="B37" s="222"/>
      <c r="C37" s="223"/>
      <c r="D37" s="238"/>
      <c r="E37" s="721" t="s">
        <v>590</v>
      </c>
      <c r="F37" s="216">
        <f>(1.82*LOG(F36)-1.64)^-2</f>
        <v>0.015909195858080146</v>
      </c>
      <c r="G37" s="241"/>
      <c r="H37" s="888" t="s">
        <v>863</v>
      </c>
      <c r="I37" s="222"/>
      <c r="J37" s="223"/>
      <c r="K37" s="238"/>
      <c r="L37" s="724" t="s">
        <v>550</v>
      </c>
      <c r="M37" s="216">
        <f>F38*M36/E12</f>
        <v>180827.9967262358</v>
      </c>
    </row>
    <row r="38" spans="1:13" s="74" customFormat="1" ht="15.75" customHeight="1">
      <c r="A38" s="888" t="s">
        <v>814</v>
      </c>
      <c r="B38" s="222"/>
      <c r="C38" s="223"/>
      <c r="D38" s="238"/>
      <c r="E38" s="722" t="s">
        <v>452</v>
      </c>
      <c r="F38" s="216">
        <f>(8*F37*(L11/(3600*E11))^2*E11/(PI()^2*L35))^0.2</f>
        <v>0.09259677326987106</v>
      </c>
      <c r="G38" s="241"/>
      <c r="H38" s="888" t="s">
        <v>864</v>
      </c>
      <c r="I38" s="222"/>
      <c r="J38" s="223"/>
      <c r="K38" s="238"/>
      <c r="L38" s="725" t="s">
        <v>182</v>
      </c>
      <c r="M38" s="252">
        <f>IF(F38&lt;0.025,25,IF(F38&lt;0.032,32,IF(F38&lt;0.04,40,IF(F38&lt;0.05,50,IF(F38&lt;0.065,65,IF(F38&lt;0.08,80,IF(F38&lt;0.1,100,IF(F38&lt;0.125,125,150))))))))</f>
        <v>100</v>
      </c>
    </row>
    <row r="39" spans="1:13" s="74" customFormat="1" ht="15.75" customHeight="1">
      <c r="A39" s="241"/>
      <c r="B39" s="241"/>
      <c r="C39" s="241"/>
      <c r="D39" s="241"/>
      <c r="E39" s="241"/>
      <c r="F39" s="241"/>
      <c r="G39" s="241"/>
      <c r="H39" s="241"/>
      <c r="I39" s="241"/>
      <c r="J39" s="241"/>
      <c r="K39" s="241"/>
      <c r="L39" s="241"/>
      <c r="M39" s="241"/>
    </row>
    <row r="40" spans="1:13" s="74" customFormat="1" ht="15.75" customHeight="1">
      <c r="A40" s="241"/>
      <c r="B40" s="205" t="s">
        <v>125</v>
      </c>
      <c r="C40" s="932" t="s">
        <v>804</v>
      </c>
      <c r="D40" s="204"/>
      <c r="E40" s="205"/>
      <c r="F40" s="206"/>
      <c r="G40" s="207"/>
      <c r="H40" s="207"/>
      <c r="I40" s="207"/>
      <c r="J40" s="207"/>
      <c r="K40" s="207"/>
      <c r="L40" s="207"/>
      <c r="M40" s="241"/>
    </row>
    <row r="41" spans="1:13" s="74" customFormat="1" ht="15.75" customHeight="1">
      <c r="A41" s="241"/>
      <c r="B41" s="253" t="s">
        <v>194</v>
      </c>
      <c r="C41" s="254"/>
      <c r="D41" s="254"/>
      <c r="E41" s="254"/>
      <c r="F41" s="242"/>
      <c r="G41" s="242"/>
      <c r="H41" s="242"/>
      <c r="I41" s="253" t="s">
        <v>195</v>
      </c>
      <c r="J41" s="254"/>
      <c r="K41" s="254"/>
      <c r="L41" s="254"/>
      <c r="M41" s="241"/>
    </row>
    <row r="42" spans="1:13" s="74" customFormat="1" ht="15.75" customHeight="1">
      <c r="A42" s="883" t="s">
        <v>817</v>
      </c>
      <c r="B42" s="219"/>
      <c r="C42" s="220"/>
      <c r="D42" s="255"/>
      <c r="E42" s="718" t="s">
        <v>440</v>
      </c>
      <c r="F42" s="216">
        <f>F15*PI()/2</f>
        <v>0.028274333882308135</v>
      </c>
      <c r="G42" s="256"/>
      <c r="H42" s="938" t="s">
        <v>865</v>
      </c>
      <c r="I42" s="227"/>
      <c r="J42" s="227"/>
      <c r="K42" s="257"/>
      <c r="L42" s="722" t="s">
        <v>454</v>
      </c>
      <c r="M42" s="248">
        <f>2*((F14/2-F30)^2-IF(F22=2,0,IF(F22=6,0,E19^2)))^0.5</f>
        <v>0.46199999999999997</v>
      </c>
    </row>
    <row r="43" spans="1:13" s="74" customFormat="1" ht="15.75" customHeight="1">
      <c r="A43" s="884" t="s">
        <v>818</v>
      </c>
      <c r="B43" s="233"/>
      <c r="C43" s="234"/>
      <c r="D43" s="237"/>
      <c r="E43" s="718" t="s">
        <v>441</v>
      </c>
      <c r="F43" s="216">
        <f>F14*M18/F23</f>
        <v>0.059289999999999995</v>
      </c>
      <c r="G43" s="258"/>
      <c r="H43" s="940" t="s">
        <v>17</v>
      </c>
      <c r="I43" s="259"/>
      <c r="J43" s="259"/>
      <c r="K43" s="260"/>
      <c r="L43" s="722" t="s">
        <v>551</v>
      </c>
      <c r="M43" s="248">
        <f>2*(INT((M42/2-F19-IF(F17=1,IF(F22=2,F18,IF(F22=6,F18,0)),IF(F22=2,0,IF(F22=6,0,F18))))/(2*F18))+1)+IF(F17=1,0,1)</f>
        <v>10</v>
      </c>
    </row>
    <row r="44" spans="1:13" s="74" customFormat="1" ht="15.75" customHeight="1">
      <c r="A44" s="885" t="s">
        <v>819</v>
      </c>
      <c r="B44" s="230"/>
      <c r="C44" s="231"/>
      <c r="D44" s="239"/>
      <c r="E44" s="719" t="s">
        <v>442</v>
      </c>
      <c r="F44" s="261">
        <f>(L11/(3600*E11))/F43</f>
        <v>0.12327882817882649</v>
      </c>
      <c r="G44" s="258"/>
      <c r="H44" s="884" t="s">
        <v>866</v>
      </c>
      <c r="I44" s="233"/>
      <c r="J44" s="234"/>
      <c r="K44" s="237"/>
      <c r="L44" s="682" t="s">
        <v>455</v>
      </c>
      <c r="M44" s="216">
        <f>M18*(M42-M43*F15+2*F30-F15)/F23</f>
        <v>0.035331999999999995</v>
      </c>
    </row>
    <row r="45" spans="1:13" s="74" customFormat="1" ht="15.75" customHeight="1">
      <c r="A45" s="938" t="s">
        <v>815</v>
      </c>
      <c r="B45" s="227"/>
      <c r="C45" s="227"/>
      <c r="D45" s="257"/>
      <c r="E45" s="718" t="s">
        <v>591</v>
      </c>
      <c r="F45" s="261">
        <f>IF(D17="ŠAHOVSKI",2,1)*F18/F15</f>
        <v>2.166666666666667</v>
      </c>
      <c r="G45" s="262"/>
      <c r="H45" s="940" t="s">
        <v>867</v>
      </c>
      <c r="I45" s="259"/>
      <c r="J45" s="259"/>
      <c r="K45" s="260"/>
      <c r="L45" s="684" t="s">
        <v>456</v>
      </c>
      <c r="M45" s="216">
        <f>(L11/(3600*E11))/M44</f>
        <v>0.2068720061904965</v>
      </c>
    </row>
    <row r="46" spans="1:13" s="74" customFormat="1" ht="15.75" customHeight="1">
      <c r="A46" s="940" t="s">
        <v>816</v>
      </c>
      <c r="B46" s="259"/>
      <c r="C46" s="259"/>
      <c r="D46" s="260"/>
      <c r="E46" s="718" t="s">
        <v>566</v>
      </c>
      <c r="F46" s="261">
        <f>IF(D17="ŠAHOVSKI",2,1)*E18/F15</f>
        <v>1.4444444444444444</v>
      </c>
      <c r="G46" s="263"/>
      <c r="H46" s="939" t="s">
        <v>820</v>
      </c>
      <c r="I46" s="250"/>
      <c r="J46" s="250"/>
      <c r="K46" s="232"/>
      <c r="L46" s="720" t="s">
        <v>552</v>
      </c>
      <c r="M46" s="236">
        <f>ROUND(M45*F15/E12,0)</f>
        <v>6700</v>
      </c>
    </row>
    <row r="47" spans="1:13" s="74" customFormat="1" ht="15.75" customHeight="1">
      <c r="A47" s="885" t="s">
        <v>18</v>
      </c>
      <c r="B47" s="230"/>
      <c r="C47" s="231"/>
      <c r="D47" s="239"/>
      <c r="E47" s="719" t="s">
        <v>592</v>
      </c>
      <c r="F47" s="261">
        <f>IF(F46&gt;=1,1-PI()/(4*F45),1-PI()/(4*F45*F46))</f>
        <v>0.6375085399704086</v>
      </c>
      <c r="G47" s="264"/>
      <c r="H47" s="938" t="s">
        <v>1</v>
      </c>
      <c r="I47" s="227"/>
      <c r="J47" s="227"/>
      <c r="K47" s="265"/>
      <c r="L47" s="718" t="s">
        <v>553</v>
      </c>
      <c r="M47" s="252">
        <f>IF(M46&lt;10,1.4,IF(M46&lt;100,1.36,IF(M46&lt;1000,0.593,0.321)))</f>
        <v>0.321</v>
      </c>
    </row>
    <row r="48" spans="1:13" s="74" customFormat="1" ht="15.75" customHeight="1">
      <c r="A48" s="888" t="s">
        <v>820</v>
      </c>
      <c r="B48" s="222"/>
      <c r="C48" s="223"/>
      <c r="D48" s="238"/>
      <c r="E48" s="720" t="s">
        <v>593</v>
      </c>
      <c r="F48" s="216">
        <f>ROUND(F44*F42/(E12*F47),0)</f>
        <v>9837</v>
      </c>
      <c r="G48" s="264"/>
      <c r="H48" s="940" t="s">
        <v>1</v>
      </c>
      <c r="I48" s="259"/>
      <c r="J48" s="259"/>
      <c r="K48" s="266"/>
      <c r="L48" s="718" t="s">
        <v>554</v>
      </c>
      <c r="M48" s="252">
        <f>IF(M46&lt;10,0.333,IF(M46&lt;100,0.343,IF(M46&lt;1000,0.523,0.6121)))</f>
        <v>0.6121</v>
      </c>
    </row>
    <row r="49" spans="1:13" s="75" customFormat="1" ht="15.75" customHeight="1">
      <c r="A49" s="883" t="s">
        <v>19</v>
      </c>
      <c r="B49" s="219"/>
      <c r="C49" s="220"/>
      <c r="D49" s="255"/>
      <c r="E49" s="720" t="s">
        <v>594</v>
      </c>
      <c r="F49" s="216">
        <f>0.664*F48^0.5*M12^(1/3)</f>
        <v>100.4293412381685</v>
      </c>
      <c r="G49" s="267"/>
      <c r="H49" s="939" t="s">
        <v>1</v>
      </c>
      <c r="I49" s="250"/>
      <c r="J49" s="250"/>
      <c r="K49" s="268"/>
      <c r="L49" s="718" t="s">
        <v>555</v>
      </c>
      <c r="M49" s="216">
        <f>1.45/(1+0.14*M46^0.519)</f>
        <v>0.09967312037565325</v>
      </c>
    </row>
    <row r="50" spans="1:13" s="75" customFormat="1" ht="15.75" customHeight="1">
      <c r="A50" s="885" t="s">
        <v>20</v>
      </c>
      <c r="B50" s="230"/>
      <c r="C50" s="231"/>
      <c r="D50" s="239"/>
      <c r="E50" s="720" t="s">
        <v>595</v>
      </c>
      <c r="F50" s="216">
        <f>0.037*F48^0.8*M12/(1+(2.443/F48^0.1)*(M12^(2/3)-1))</f>
        <v>89.57633227584193</v>
      </c>
      <c r="G50" s="269"/>
      <c r="H50" s="936" t="s">
        <v>22</v>
      </c>
      <c r="I50" s="209"/>
      <c r="J50" s="209"/>
      <c r="K50" s="228"/>
      <c r="L50" s="720" t="s">
        <v>556</v>
      </c>
      <c r="M50" s="216">
        <f>M47*(1.33*F15/(E18))^M49*M46^M48*M12^(1/3)*L12^0.14</f>
        <v>114.80295039541735</v>
      </c>
    </row>
    <row r="51" spans="1:13" s="75" customFormat="1" ht="15.75" customHeight="1">
      <c r="A51" s="883" t="s">
        <v>821</v>
      </c>
      <c r="B51" s="219"/>
      <c r="C51" s="220"/>
      <c r="D51" s="255"/>
      <c r="E51" s="718" t="s">
        <v>596</v>
      </c>
      <c r="F51" s="216">
        <f>IF(D17="ŠAHOVSKI",1+2/(3*F46),(0.7/F47^1.5)*(F46/F45-0.3)/(F46/F45+0.7)^2)</f>
        <v>1.4615384615384617</v>
      </c>
      <c r="G51" s="269"/>
      <c r="H51" s="936" t="s">
        <v>868</v>
      </c>
      <c r="I51" s="209"/>
      <c r="J51" s="209"/>
      <c r="K51" s="228"/>
      <c r="L51" s="718" t="s">
        <v>557</v>
      </c>
      <c r="M51" s="216">
        <f>(M20+2*INT(0.4*(M14-M23/2)/E18))*(F27-IF(F23=1,1,F23))</f>
        <v>450</v>
      </c>
    </row>
    <row r="52" spans="1:13" s="75" customFormat="1" ht="15.75" customHeight="1">
      <c r="A52" s="885" t="s">
        <v>21</v>
      </c>
      <c r="B52" s="230"/>
      <c r="C52" s="231"/>
      <c r="D52" s="239"/>
      <c r="E52" s="718" t="s">
        <v>597</v>
      </c>
      <c r="F52" s="216">
        <f>IF(M20&lt;10,M20/(1+M20),1)</f>
        <v>1</v>
      </c>
      <c r="G52" s="269"/>
      <c r="H52" s="938" t="s">
        <v>869</v>
      </c>
      <c r="I52" s="227"/>
      <c r="J52" s="227"/>
      <c r="K52" s="265"/>
      <c r="L52" s="718" t="s">
        <v>558</v>
      </c>
      <c r="M52" s="216">
        <f>0.9389+1.171*(F25/F24)^0.4-1.579*(F25/F24)^0.8</f>
        <v>1.129405806525753</v>
      </c>
    </row>
    <row r="53" spans="1:13" s="75" customFormat="1" ht="15.75" customHeight="1">
      <c r="A53" s="888" t="s">
        <v>22</v>
      </c>
      <c r="B53" s="222"/>
      <c r="C53" s="223"/>
      <c r="D53" s="238"/>
      <c r="E53" s="720" t="s">
        <v>556</v>
      </c>
      <c r="F53" s="216">
        <f>(0.3+(F49^2+F50^2)^0.5)*L12^0.14*F51*F52</f>
        <v>197.94806116309084</v>
      </c>
      <c r="G53" s="269"/>
      <c r="H53" s="940" t="s">
        <v>870</v>
      </c>
      <c r="I53" s="259"/>
      <c r="J53" s="259"/>
      <c r="K53" s="266"/>
      <c r="L53" s="718" t="s">
        <v>559</v>
      </c>
      <c r="M53" s="216">
        <f>0.44*(1-M28/(M28+M29))+(1-0.44*(1-M28/(M28+M29)))*EXP(-2.2*(M28+M29)/M44)</f>
        <v>0.8277341557428726</v>
      </c>
    </row>
    <row r="54" spans="1:13" s="75" customFormat="1" ht="15.75" customHeight="1">
      <c r="A54" s="883" t="s">
        <v>822</v>
      </c>
      <c r="B54" s="219"/>
      <c r="C54" s="220"/>
      <c r="D54" s="255"/>
      <c r="E54" s="718" t="s">
        <v>598</v>
      </c>
      <c r="F54" s="216">
        <f>1-2*F25/F24+0.654*(F25/F24)^0.32</f>
        <v>1.0213732667686488</v>
      </c>
      <c r="G54" s="269"/>
      <c r="H54" s="940" t="s">
        <v>6</v>
      </c>
      <c r="I54" s="259"/>
      <c r="J54" s="259"/>
      <c r="K54" s="266"/>
      <c r="L54" s="718" t="s">
        <v>560</v>
      </c>
      <c r="M54" s="216">
        <f>EXP(-IF(M46&lt;=100,1.35,1.25)*M30*(1-(2*F28/M20)^(1/3))/M44)</f>
        <v>0.8645484381277374</v>
      </c>
    </row>
    <row r="55" spans="1:13" s="75" customFormat="1" ht="15.75" customHeight="1">
      <c r="A55" s="884" t="s">
        <v>23</v>
      </c>
      <c r="B55" s="233"/>
      <c r="C55" s="234"/>
      <c r="D55" s="237"/>
      <c r="E55" s="718" t="s">
        <v>599</v>
      </c>
      <c r="F55" s="216">
        <f>EXP(-IF(F48&lt;100,1.5,1.35)*M23*M18*(1-(F28/M21)^(1/3))/F67)</f>
        <v>0.8308676743920692</v>
      </c>
      <c r="G55" s="240"/>
      <c r="H55" s="940" t="s">
        <v>7</v>
      </c>
      <c r="I55" s="259"/>
      <c r="J55" s="259"/>
      <c r="K55" s="266"/>
      <c r="L55" s="718" t="s">
        <v>561</v>
      </c>
      <c r="M55" s="216">
        <f>(F27-IF(F23=1,1,F23)+(M19/M18)^IF(M46&gt;100,0.4,2/3)+(M19/M18)^IF(M46&gt;100,0.4,2/3))/(F27-1+M19/M18+M19/M18)</f>
        <v>0.9506350773808111</v>
      </c>
    </row>
    <row r="56" spans="1:13" s="75" customFormat="1" ht="15.75" customHeight="1">
      <c r="A56" s="884" t="s">
        <v>823</v>
      </c>
      <c r="B56" s="233"/>
      <c r="C56" s="234"/>
      <c r="D56" s="237"/>
      <c r="E56" s="718" t="s">
        <v>600</v>
      </c>
      <c r="F56" s="216">
        <f>0.4*M29/(M29+M28)+(1-(0.4*M29/(M29+M28)))*EXP(-1.5*(M29+M28)/F67)</f>
        <v>0.7667051410264714</v>
      </c>
      <c r="G56" s="240"/>
      <c r="H56" s="939" t="s">
        <v>3</v>
      </c>
      <c r="I56" s="250"/>
      <c r="J56" s="250"/>
      <c r="K56" s="268"/>
      <c r="L56" s="718" t="s">
        <v>562</v>
      </c>
      <c r="M56" s="216">
        <f>IF(M46&gt;100,1,IF(M46&lt;=20,(10/M51)^0.18,((10/M51)^0.18+(M46-20)*((10/M51)^0.18-1)/80)))</f>
        <v>1</v>
      </c>
    </row>
    <row r="57" spans="1:13" s="75" customFormat="1" ht="15.75" customHeight="1">
      <c r="A57" s="885" t="s">
        <v>2</v>
      </c>
      <c r="B57" s="230"/>
      <c r="C57" s="231"/>
      <c r="D57" s="239"/>
      <c r="E57" s="718" t="s">
        <v>563</v>
      </c>
      <c r="F57" s="216">
        <f>F54*F55*F56</f>
        <v>0.6506459406587454</v>
      </c>
      <c r="G57" s="799" t="s">
        <v>24</v>
      </c>
      <c r="H57" s="938" t="s">
        <v>2</v>
      </c>
      <c r="I57" s="227"/>
      <c r="J57" s="227"/>
      <c r="K57" s="265"/>
      <c r="L57" s="718" t="s">
        <v>563</v>
      </c>
      <c r="M57" s="216">
        <f>M52*M53*M54*M55*M56</f>
        <v>0.7683233966826689</v>
      </c>
    </row>
    <row r="58" spans="1:13" s="75" customFormat="1" ht="15.75" customHeight="1">
      <c r="A58" s="938" t="s">
        <v>4</v>
      </c>
      <c r="B58" s="227"/>
      <c r="C58" s="227"/>
      <c r="D58" s="265"/>
      <c r="E58" s="716" t="s">
        <v>443</v>
      </c>
      <c r="F58" s="216">
        <f>L10*F53/F42</f>
        <v>4.529634406441577</v>
      </c>
      <c r="G58" s="798">
        <f>(F58-M58)/F58</f>
        <v>0.0889930837071378</v>
      </c>
      <c r="H58" s="938" t="s">
        <v>4</v>
      </c>
      <c r="I58" s="227"/>
      <c r="J58" s="227"/>
      <c r="K58" s="265"/>
      <c r="L58" s="716" t="s">
        <v>443</v>
      </c>
      <c r="M58" s="216">
        <f>L10*M50/F15</f>
        <v>4.12652827254639</v>
      </c>
    </row>
    <row r="59" spans="1:13" s="75" customFormat="1" ht="15.75" customHeight="1">
      <c r="A59" s="939" t="s">
        <v>5</v>
      </c>
      <c r="B59" s="250"/>
      <c r="C59" s="250"/>
      <c r="D59" s="268"/>
      <c r="E59" s="717" t="s">
        <v>444</v>
      </c>
      <c r="F59" s="270">
        <f>F58*F57</f>
        <v>2.9471882392193978</v>
      </c>
      <c r="G59" s="798">
        <f>(F59-M59)/F59</f>
        <v>-0.07577391110574609</v>
      </c>
      <c r="H59" s="939" t="s">
        <v>5</v>
      </c>
      <c r="I59" s="250"/>
      <c r="J59" s="250"/>
      <c r="K59" s="268"/>
      <c r="L59" s="717" t="s">
        <v>444</v>
      </c>
      <c r="M59" s="270">
        <f>M58*M57</f>
        <v>3.1705082188699087</v>
      </c>
    </row>
    <row r="60" spans="1:13" s="75" customFormat="1" ht="15.75" customHeight="1">
      <c r="A60" s="241"/>
      <c r="B60" s="242"/>
      <c r="C60" s="242"/>
      <c r="D60" s="242"/>
      <c r="E60" s="242"/>
      <c r="F60" s="242"/>
      <c r="G60" s="240"/>
      <c r="H60" s="242"/>
      <c r="I60" s="242"/>
      <c r="J60" s="242"/>
      <c r="K60" s="242"/>
      <c r="L60" s="242"/>
      <c r="M60" s="242"/>
    </row>
    <row r="61" spans="1:13" s="75" customFormat="1" ht="15.75" customHeight="1">
      <c r="A61" s="242"/>
      <c r="B61" s="242"/>
      <c r="C61" s="242"/>
      <c r="D61" s="242"/>
      <c r="E61" s="242"/>
      <c r="F61" s="242"/>
      <c r="G61" s="240"/>
      <c r="H61" s="242"/>
      <c r="I61" s="242"/>
      <c r="J61" s="242"/>
      <c r="K61" s="242"/>
      <c r="L61" s="242"/>
      <c r="M61" s="242"/>
    </row>
    <row r="62" spans="1:13" s="74" customFormat="1" ht="15.75" customHeight="1">
      <c r="A62" s="241"/>
      <c r="B62" s="205" t="s">
        <v>125</v>
      </c>
      <c r="C62" s="932" t="s">
        <v>805</v>
      </c>
      <c r="D62" s="204"/>
      <c r="E62" s="205"/>
      <c r="F62" s="206"/>
      <c r="G62" s="207"/>
      <c r="H62" s="207"/>
      <c r="I62" s="207"/>
      <c r="J62" s="207"/>
      <c r="K62" s="207"/>
      <c r="L62" s="207"/>
      <c r="M62" s="241"/>
    </row>
    <row r="63" spans="1:13" s="74" customFormat="1" ht="15.75" customHeight="1">
      <c r="A63" s="241"/>
      <c r="B63" s="253" t="s">
        <v>33</v>
      </c>
      <c r="C63" s="253" t="s">
        <v>35</v>
      </c>
      <c r="D63" s="254"/>
      <c r="E63" s="254"/>
      <c r="F63" s="242"/>
      <c r="G63" s="242"/>
      <c r="H63" s="242"/>
      <c r="I63" s="253" t="s">
        <v>33</v>
      </c>
      <c r="J63" s="253" t="s">
        <v>34</v>
      </c>
      <c r="K63" s="254"/>
      <c r="L63" s="254"/>
      <c r="M63" s="242"/>
    </row>
    <row r="64" spans="1:13" s="75" customFormat="1" ht="15.75" customHeight="1">
      <c r="A64" s="272" t="s">
        <v>827</v>
      </c>
      <c r="B64" s="242"/>
      <c r="C64" s="242"/>
      <c r="D64" s="242"/>
      <c r="E64" s="242"/>
      <c r="F64" s="272"/>
      <c r="G64" s="240"/>
      <c r="H64" s="938" t="s">
        <v>872</v>
      </c>
      <c r="I64" s="227"/>
      <c r="J64" s="227"/>
      <c r="K64" s="257"/>
      <c r="L64" s="718" t="s">
        <v>564</v>
      </c>
      <c r="M64" s="252">
        <f>IF(M46&lt;10,192,IF(M46&lt;100,180.4,IF(M46&lt;1000,18.28,IF(M46&lt;10000,1.944,1.488))))</f>
        <v>1.944</v>
      </c>
    </row>
    <row r="65" spans="1:13" s="75" customFormat="1" ht="15.75" customHeight="1">
      <c r="A65" s="938" t="s">
        <v>828</v>
      </c>
      <c r="B65" s="227"/>
      <c r="C65" s="227"/>
      <c r="D65" s="257"/>
      <c r="E65" s="682" t="s">
        <v>457</v>
      </c>
      <c r="F65" s="216">
        <f>M18*(F14-F15*IF(D17="ŠAHOVSKI",1,2)*F21)/F23</f>
        <v>0.035332</v>
      </c>
      <c r="G65" s="240"/>
      <c r="H65" s="940" t="s">
        <v>872</v>
      </c>
      <c r="I65" s="259"/>
      <c r="J65" s="259"/>
      <c r="K65" s="260"/>
      <c r="L65" s="718" t="s">
        <v>565</v>
      </c>
      <c r="M65" s="252">
        <f>IF(M46&lt;10,-1,IF(M46&lt;100,-0.973,IF(M46&lt;1000,-0.476,IF(M46&lt;10000,-0.152,-0.123))))</f>
        <v>-0.152</v>
      </c>
    </row>
    <row r="66" spans="1:13" s="75" customFormat="1" ht="15.75" customHeight="1">
      <c r="A66" s="885" t="s">
        <v>829</v>
      </c>
      <c r="B66" s="230"/>
      <c r="C66" s="231"/>
      <c r="D66" s="232"/>
      <c r="E66" s="682" t="s">
        <v>458</v>
      </c>
      <c r="F66" s="216">
        <f>2*M18*(F30+F19-F15+((E18^2+F18^2)^0.5-F15)*(F21-1))/F23</f>
        <v>0.017632321563048555</v>
      </c>
      <c r="G66" s="240"/>
      <c r="H66" s="940" t="s">
        <v>872</v>
      </c>
      <c r="I66" s="259"/>
      <c r="J66" s="259"/>
      <c r="K66" s="260"/>
      <c r="L66" s="718" t="s">
        <v>566</v>
      </c>
      <c r="M66" s="252">
        <f>7/(1+0.14*M46^0.5)</f>
        <v>0.5618205736982045</v>
      </c>
    </row>
    <row r="67" spans="1:13" s="75" customFormat="1" ht="15.75" customHeight="1">
      <c r="A67" s="885" t="s">
        <v>830</v>
      </c>
      <c r="B67" s="230"/>
      <c r="C67" s="231"/>
      <c r="D67" s="232"/>
      <c r="E67" s="682" t="s">
        <v>459</v>
      </c>
      <c r="F67" s="216">
        <f>IF(F65&lt;F66,F65,F66)</f>
        <v>0.017632321563048555</v>
      </c>
      <c r="G67" s="241"/>
      <c r="H67" s="940" t="s">
        <v>839</v>
      </c>
      <c r="I67" s="259"/>
      <c r="J67" s="259"/>
      <c r="K67" s="260"/>
      <c r="L67" s="722" t="s">
        <v>567</v>
      </c>
      <c r="M67" s="216">
        <f>M64*(1.33*F15/E18)^M66*M46^M65*M20*L12^0.14</f>
        <v>13.698895458540918</v>
      </c>
    </row>
    <row r="68" spans="1:13" s="75" customFormat="1" ht="15.75" customHeight="1">
      <c r="A68" s="936" t="s">
        <v>683</v>
      </c>
      <c r="B68" s="209"/>
      <c r="C68" s="209"/>
      <c r="D68" s="228"/>
      <c r="E68" s="723" t="s">
        <v>460</v>
      </c>
      <c r="F68" s="229">
        <f>(L11/(3600*E11))/F67</f>
        <v>0.4145342799351086</v>
      </c>
      <c r="G68" s="242"/>
      <c r="H68" s="884" t="s">
        <v>8</v>
      </c>
      <c r="I68" s="233"/>
      <c r="J68" s="234"/>
      <c r="K68" s="237"/>
      <c r="L68" s="728" t="s">
        <v>469</v>
      </c>
      <c r="M68" s="216">
        <f>M67*E11*M45^2/2000</f>
        <v>0.2896409127021235</v>
      </c>
    </row>
    <row r="69" spans="1:13" s="75" customFormat="1" ht="15.75" customHeight="1">
      <c r="A69" s="936" t="s">
        <v>831</v>
      </c>
      <c r="B69" s="209"/>
      <c r="C69" s="209"/>
      <c r="D69" s="228"/>
      <c r="E69" s="726" t="s">
        <v>582</v>
      </c>
      <c r="F69" s="229">
        <f>F68*F15/E12</f>
        <v>13425.003668283474</v>
      </c>
      <c r="G69" s="242"/>
      <c r="H69" s="884" t="s">
        <v>871</v>
      </c>
      <c r="I69" s="233"/>
      <c r="J69" s="234"/>
      <c r="K69" s="237"/>
      <c r="L69" s="722" t="s">
        <v>568</v>
      </c>
      <c r="M69" s="216">
        <f>EXP(IF(M46&gt;=100,-3.7,-4.5)*(M30/M44)*(1-F28/M20^(1/3)))</f>
        <v>0.6499746493791148</v>
      </c>
    </row>
    <row r="70" spans="1:14" s="75" customFormat="1" ht="15.75" customHeight="1">
      <c r="A70" s="272" t="s">
        <v>25</v>
      </c>
      <c r="B70" s="242"/>
      <c r="C70" s="242"/>
      <c r="D70" s="242"/>
      <c r="E70" s="242"/>
      <c r="F70" s="242"/>
      <c r="G70" s="242"/>
      <c r="H70" s="884" t="s">
        <v>873</v>
      </c>
      <c r="I70" s="233"/>
      <c r="J70" s="234"/>
      <c r="K70" s="237"/>
      <c r="L70" s="722" t="s">
        <v>569</v>
      </c>
      <c r="M70" s="216">
        <f>EXP(-1.33*(1+M29/(M29+M28))*((M29+M28)/M44)^(0.8-0.15*M29/(M29+M28)))</f>
        <v>0.5684515019561959</v>
      </c>
      <c r="N70" s="96"/>
    </row>
    <row r="71" spans="1:14" s="75" customFormat="1" ht="15.75" customHeight="1">
      <c r="A71" s="938" t="s">
        <v>832</v>
      </c>
      <c r="B71" s="227"/>
      <c r="C71" s="227"/>
      <c r="D71" s="257"/>
      <c r="E71" s="682" t="s">
        <v>461</v>
      </c>
      <c r="F71" s="216">
        <f>M19*(F14-F15*F21)/F23</f>
        <v>0.036500000000000005</v>
      </c>
      <c r="G71" s="242"/>
      <c r="H71" s="885" t="s">
        <v>874</v>
      </c>
      <c r="I71" s="230"/>
      <c r="J71" s="231"/>
      <c r="K71" s="239"/>
      <c r="L71" s="728" t="s">
        <v>465</v>
      </c>
      <c r="M71" s="216">
        <f>M68*(F27-IF(F23=1,1,F23))*M69*M70</f>
        <v>1.9262925685054497</v>
      </c>
      <c r="N71" s="96"/>
    </row>
    <row r="72" spans="1:13" s="75" customFormat="1" ht="15.75" customHeight="1">
      <c r="A72" s="885" t="s">
        <v>829</v>
      </c>
      <c r="B72" s="230"/>
      <c r="C72" s="231"/>
      <c r="D72" s="232"/>
      <c r="E72" s="682" t="s">
        <v>462</v>
      </c>
      <c r="F72" s="216">
        <f>2*M19*(F30+F19-F15+((E18^2+F18^2)^0.5-F15)*(F21-1))/F23</f>
        <v>0.01821520822628983</v>
      </c>
      <c r="G72" s="242"/>
      <c r="H72" s="883" t="s">
        <v>13</v>
      </c>
      <c r="I72" s="219"/>
      <c r="J72" s="220"/>
      <c r="K72" s="255"/>
      <c r="L72" s="722" t="s">
        <v>570</v>
      </c>
      <c r="M72" s="216">
        <f>2*(M18/M19)^(2-IF(M46&lt;100,1,0.2))</f>
        <v>1.8862777363595895</v>
      </c>
    </row>
    <row r="73" spans="1:13" s="75" customFormat="1" ht="15.75" customHeight="1">
      <c r="A73" s="885" t="s">
        <v>833</v>
      </c>
      <c r="B73" s="230"/>
      <c r="C73" s="231"/>
      <c r="D73" s="232"/>
      <c r="E73" s="682" t="s">
        <v>463</v>
      </c>
      <c r="F73" s="216">
        <f>IF(F71&lt;F72,F71,F72)</f>
        <v>0.01821520822628983</v>
      </c>
      <c r="G73" s="242"/>
      <c r="H73" s="885" t="s">
        <v>12</v>
      </c>
      <c r="I73" s="230"/>
      <c r="J73" s="231"/>
      <c r="K73" s="239"/>
      <c r="L73" s="728" t="s">
        <v>470</v>
      </c>
      <c r="M73" s="216">
        <f>M68*(1+M16/M20)*M69*M72</f>
        <v>0.49528393054411524</v>
      </c>
    </row>
    <row r="74" spans="1:13" s="75" customFormat="1" ht="15.75" customHeight="1">
      <c r="A74" s="936" t="s">
        <v>824</v>
      </c>
      <c r="B74" s="209"/>
      <c r="C74" s="209"/>
      <c r="D74" s="228"/>
      <c r="E74" s="723" t="s">
        <v>464</v>
      </c>
      <c r="F74" s="229">
        <f>(L11/(3600*E11))/F73</f>
        <v>0.4012691829771851</v>
      </c>
      <c r="G74" s="242"/>
      <c r="H74" s="883" t="s">
        <v>835</v>
      </c>
      <c r="I74" s="219"/>
      <c r="J74" s="220"/>
      <c r="K74" s="255"/>
      <c r="L74" s="730" t="s">
        <v>28</v>
      </c>
      <c r="M74" s="216">
        <f>(M44*M31)^0.5</f>
        <v>0.019083007392571086</v>
      </c>
    </row>
    <row r="75" spans="1:13" s="75" customFormat="1" ht="15.75" customHeight="1">
      <c r="A75" s="936" t="s">
        <v>183</v>
      </c>
      <c r="B75" s="209"/>
      <c r="C75" s="209"/>
      <c r="D75" s="228"/>
      <c r="E75" s="726" t="s">
        <v>581</v>
      </c>
      <c r="F75" s="229">
        <f>F74*F15/E12</f>
        <v>12995.403550898402</v>
      </c>
      <c r="G75" s="242"/>
      <c r="H75" s="884" t="s">
        <v>9</v>
      </c>
      <c r="I75" s="233"/>
      <c r="J75" s="234"/>
      <c r="K75" s="237"/>
      <c r="L75" s="723" t="s">
        <v>471</v>
      </c>
      <c r="M75" s="216">
        <f>(L11/(3600*E11))/M74</f>
        <v>0.3830214793905103</v>
      </c>
    </row>
    <row r="76" spans="1:13" s="75" customFormat="1" ht="15.75" customHeight="1">
      <c r="A76" s="272" t="s">
        <v>834</v>
      </c>
      <c r="B76" s="242"/>
      <c r="C76" s="242"/>
      <c r="D76" s="242"/>
      <c r="E76" s="242"/>
      <c r="F76" s="242"/>
      <c r="G76" s="242"/>
      <c r="H76" s="884" t="s">
        <v>875</v>
      </c>
      <c r="I76" s="233"/>
      <c r="J76" s="234"/>
      <c r="K76" s="237"/>
      <c r="L76" s="722" t="s">
        <v>571</v>
      </c>
      <c r="M76" s="216">
        <f>2+0.6*M16</f>
        <v>6.5</v>
      </c>
    </row>
    <row r="77" spans="1:13" s="75" customFormat="1" ht="15.75" customHeight="1">
      <c r="A77" s="936" t="s">
        <v>835</v>
      </c>
      <c r="B77" s="209"/>
      <c r="C77" s="209"/>
      <c r="D77" s="228"/>
      <c r="E77" s="682" t="s">
        <v>188</v>
      </c>
      <c r="F77" s="248">
        <f>(M31*F67)^0.5</f>
        <v>0.01348085558881261</v>
      </c>
      <c r="G77" s="242"/>
      <c r="H77" s="884" t="s">
        <v>10</v>
      </c>
      <c r="I77" s="233"/>
      <c r="J77" s="234"/>
      <c r="K77" s="237"/>
      <c r="L77" s="728" t="s">
        <v>472</v>
      </c>
      <c r="M77" s="216">
        <f>M76*E11*M75^2/2000</f>
        <v>0.471118891021248</v>
      </c>
    </row>
    <row r="78" spans="1:13" s="75" customFormat="1" ht="15.75" customHeight="1">
      <c r="A78" s="936" t="s">
        <v>836</v>
      </c>
      <c r="B78" s="209"/>
      <c r="C78" s="209"/>
      <c r="D78" s="228"/>
      <c r="E78" s="723" t="s">
        <v>189</v>
      </c>
      <c r="F78" s="229">
        <f>(L11/(3600*E11))/F77</f>
        <v>0.5421912336772101</v>
      </c>
      <c r="G78" s="242"/>
      <c r="H78" s="885" t="s">
        <v>11</v>
      </c>
      <c r="I78" s="230"/>
      <c r="J78" s="231"/>
      <c r="K78" s="239"/>
      <c r="L78" s="728" t="s">
        <v>473</v>
      </c>
      <c r="M78" s="216">
        <f>M77*F27*M70</f>
        <v>5.356164824019316</v>
      </c>
    </row>
    <row r="79" spans="1:14" ht="15" customHeight="1">
      <c r="A79" s="936" t="s">
        <v>825</v>
      </c>
      <c r="B79" s="209"/>
      <c r="C79" s="209"/>
      <c r="D79" s="228"/>
      <c r="E79" s="726" t="s">
        <v>580</v>
      </c>
      <c r="F79" s="229">
        <f>F78*F31/E12</f>
        <v>5302.980758648617</v>
      </c>
      <c r="G79" s="242"/>
      <c r="H79" s="883" t="s">
        <v>844</v>
      </c>
      <c r="I79" s="273"/>
      <c r="J79" s="274"/>
      <c r="K79" s="275"/>
      <c r="L79" s="727"/>
      <c r="M79" s="163"/>
      <c r="N79" s="75"/>
    </row>
    <row r="80" spans="1:14" ht="15" customHeight="1">
      <c r="A80" s="936" t="s">
        <v>826</v>
      </c>
      <c r="B80" s="209"/>
      <c r="C80" s="209"/>
      <c r="D80" s="228"/>
      <c r="E80" s="726" t="s">
        <v>579</v>
      </c>
      <c r="F80" s="229">
        <f>F78*M15/E12</f>
        <v>21535.29204258327</v>
      </c>
      <c r="G80" s="276"/>
      <c r="H80" s="885" t="s">
        <v>191</v>
      </c>
      <c r="I80" s="230"/>
      <c r="J80" s="231"/>
      <c r="K80" s="239"/>
      <c r="L80" s="728" t="s">
        <v>468</v>
      </c>
      <c r="M80" s="270">
        <f>M71+M78+M73</f>
        <v>7.777741323068881</v>
      </c>
      <c r="N80" s="75"/>
    </row>
    <row r="81" spans="1:14" ht="15" customHeight="1">
      <c r="A81" s="272" t="s">
        <v>837</v>
      </c>
      <c r="B81" s="242"/>
      <c r="C81" s="242"/>
      <c r="D81" s="242"/>
      <c r="E81" s="242"/>
      <c r="F81" s="163"/>
      <c r="G81" s="276"/>
      <c r="H81" s="163"/>
      <c r="I81" s="163"/>
      <c r="J81" s="163"/>
      <c r="K81" s="163"/>
      <c r="L81" s="731"/>
      <c r="M81" s="163"/>
      <c r="N81" s="75"/>
    </row>
    <row r="82" spans="1:14" ht="18.75">
      <c r="A82" s="888" t="s">
        <v>185</v>
      </c>
      <c r="B82" s="222"/>
      <c r="C82" s="223"/>
      <c r="D82" s="238"/>
      <c r="E82" s="722" t="s">
        <v>578</v>
      </c>
      <c r="F82" s="216">
        <f>IF(OR(F11=0,F12=0),1,L12^IF(F69&gt;=100,0.14,0.57/(F69*(F45*F46/PI()-1))^0.25))</f>
        <v>1.0041880160243586</v>
      </c>
      <c r="G82" s="242"/>
      <c r="H82" s="163"/>
      <c r="I82" s="277" t="s">
        <v>32</v>
      </c>
      <c r="J82" s="278"/>
      <c r="K82" s="100" t="s">
        <v>35</v>
      </c>
      <c r="L82" s="732"/>
      <c r="M82" s="163"/>
      <c r="N82" s="75"/>
    </row>
    <row r="83" spans="1:13" ht="18.75">
      <c r="A83" s="883" t="s">
        <v>838</v>
      </c>
      <c r="B83" s="219"/>
      <c r="C83" s="220"/>
      <c r="D83" s="255"/>
      <c r="E83" s="722" t="s">
        <v>577</v>
      </c>
      <c r="F83" s="216">
        <f>EXP(-IF(F69&lt;100,4.5,3.7)*M23*M18*(1-(F28/M20)^(1/3))/F67)</f>
        <v>0.6018076412984447</v>
      </c>
      <c r="G83" s="242"/>
      <c r="H83" s="888" t="s">
        <v>841</v>
      </c>
      <c r="I83" s="222"/>
      <c r="J83" s="223"/>
      <c r="K83" s="238"/>
      <c r="L83" s="728" t="s">
        <v>465</v>
      </c>
      <c r="M83" s="229">
        <f>IF(C63=K82,F86,M71)</f>
        <v>3.60736707565434</v>
      </c>
    </row>
    <row r="84" spans="1:14" ht="19.5">
      <c r="A84" s="884" t="s">
        <v>839</v>
      </c>
      <c r="B84" s="233"/>
      <c r="C84" s="234"/>
      <c r="D84" s="237"/>
      <c r="E84" s="723" t="s">
        <v>576</v>
      </c>
      <c r="F84" s="216">
        <f>IF(F69&lt;100,IF(D17="ŠAHOVSKI",60,48)/(F69*(F45-1)),IF(D17="ŠAHOVSKI",(F82/F69^0.25)*(2.5+1.2/(F45-0.85)^1.08+0.4*(F46/F45-1)^3-0.01*(F45/F46-1)^3),(F82/F69)*(280*(F46^0.5-0.6)^2+210)/((4*F45*F46/PI()-1)*F45^1.8))*(1+(1-EXP(-0.5-F69/2000))))</f>
        <v>0.6295684124554448</v>
      </c>
      <c r="G84" s="242"/>
      <c r="H84" s="885" t="s">
        <v>187</v>
      </c>
      <c r="I84" s="230"/>
      <c r="J84" s="231"/>
      <c r="K84" s="239"/>
      <c r="L84" s="728" t="s">
        <v>466</v>
      </c>
      <c r="M84" s="229">
        <f>IF(C63=K82,F89,M73)</f>
        <v>1.7185456906015009</v>
      </c>
      <c r="N84" s="97"/>
    </row>
    <row r="85" spans="1:13" ht="18.75">
      <c r="A85" s="884" t="s">
        <v>840</v>
      </c>
      <c r="B85" s="233"/>
      <c r="C85" s="234"/>
      <c r="D85" s="237"/>
      <c r="E85" s="722" t="s">
        <v>575</v>
      </c>
      <c r="F85" s="216">
        <f>EXP(-1.33*(1+M29/(M28+M29))*((M28+M29)/F67)^(0.65-0.15*(M29/(M28+M29))))</f>
        <v>0.3279229400337235</v>
      </c>
      <c r="G85" s="242"/>
      <c r="H85" s="888" t="s">
        <v>843</v>
      </c>
      <c r="I85" s="222"/>
      <c r="J85" s="223"/>
      <c r="K85" s="238"/>
      <c r="L85" s="728" t="s">
        <v>467</v>
      </c>
      <c r="M85" s="229">
        <f>IF(C63=K82,F91,M78)</f>
        <v>6.269884957842007</v>
      </c>
    </row>
    <row r="86" spans="1:13" ht="18.75">
      <c r="A86" s="885" t="s">
        <v>841</v>
      </c>
      <c r="B86" s="230"/>
      <c r="C86" s="231"/>
      <c r="D86" s="239"/>
      <c r="E86" s="728" t="s">
        <v>465</v>
      </c>
      <c r="F86" s="229">
        <f>(F27-IF(F23=1,1,F23))*F85*F83*F84*M20*E11*F68^2/2000</f>
        <v>3.60736707565434</v>
      </c>
      <c r="G86" s="279"/>
      <c r="H86" s="883" t="s">
        <v>844</v>
      </c>
      <c r="I86" s="273"/>
      <c r="J86" s="274"/>
      <c r="K86" s="275"/>
      <c r="L86" s="727"/>
      <c r="M86" s="241"/>
    </row>
    <row r="87" spans="1:13" ht="18.75">
      <c r="A87" s="883" t="s">
        <v>184</v>
      </c>
      <c r="B87" s="219"/>
      <c r="C87" s="220"/>
      <c r="D87" s="255"/>
      <c r="E87" s="722" t="s">
        <v>574</v>
      </c>
      <c r="F87" s="216">
        <f>EXP(-IF(F75&lt;100,4.5,3.7)*M23*M19*(1-(F28/M21)^(1/3))/F73)</f>
        <v>0.6018076412984447</v>
      </c>
      <c r="G87" s="279"/>
      <c r="H87" s="885" t="s">
        <v>191</v>
      </c>
      <c r="I87" s="230"/>
      <c r="J87" s="231"/>
      <c r="K87" s="239"/>
      <c r="L87" s="728" t="s">
        <v>468</v>
      </c>
      <c r="M87" s="280">
        <f>M83+M84+M85</f>
        <v>11.595797724097848</v>
      </c>
    </row>
    <row r="88" spans="1:13" ht="19.5">
      <c r="A88" s="884" t="s">
        <v>839</v>
      </c>
      <c r="B88" s="233"/>
      <c r="C88" s="234"/>
      <c r="D88" s="237"/>
      <c r="E88" s="723" t="s">
        <v>573</v>
      </c>
      <c r="F88" s="216">
        <f>IF(F75&lt;100,IF(D17="ŠAHOVSKI",60,48)/(F75*(F45-1)),IF(D17="ŠAHOVSKI",(F82/F75^0.25)*(2.5+1.2/(F45-0.85)^1.08+0.4*(F46/F45-1)^3-0.01*(F45/F46-1)^3),(F82/F75)*(280*(F46^0.5-0.6)^2+210)/((4*F45*F46/PI()-1)*F45^1.8))*(1+(1-EXP(-0.5-F75/2000))))</f>
        <v>0.634652085277665</v>
      </c>
      <c r="G88" s="242"/>
      <c r="H88" s="942"/>
      <c r="I88" s="163"/>
      <c r="J88" s="163"/>
      <c r="K88" s="163"/>
      <c r="L88" s="163"/>
      <c r="M88" s="163"/>
    </row>
    <row r="89" spans="1:13" ht="18.75">
      <c r="A89" s="885" t="s">
        <v>187</v>
      </c>
      <c r="B89" s="230"/>
      <c r="C89" s="231"/>
      <c r="D89" s="239"/>
      <c r="E89" s="728" t="s">
        <v>466</v>
      </c>
      <c r="F89" s="229">
        <f>2*F87*F88*M21*E11*F68^2/2000</f>
        <v>1.7185456906015009</v>
      </c>
      <c r="G89" s="163"/>
      <c r="H89" s="888" t="s">
        <v>684</v>
      </c>
      <c r="I89" s="222"/>
      <c r="J89" s="223"/>
      <c r="K89" s="840"/>
      <c r="L89" s="841"/>
      <c r="M89" s="838">
        <f>F93/M80</f>
        <v>1.4908952666893873</v>
      </c>
    </row>
    <row r="90" spans="1:13" ht="19.5">
      <c r="A90" s="883" t="s">
        <v>842</v>
      </c>
      <c r="B90" s="219"/>
      <c r="C90" s="220"/>
      <c r="D90" s="255"/>
      <c r="E90" s="723" t="s">
        <v>572</v>
      </c>
      <c r="F90" s="216">
        <f>((56*M17/F79+52*M18/(M15*F80)+2)^2+(0.6*M17+2)^2)^0.5</f>
        <v>6.554911866412736</v>
      </c>
      <c r="G90" s="163"/>
      <c r="H90" s="163"/>
      <c r="I90" s="163"/>
      <c r="J90" s="163"/>
      <c r="K90" s="163"/>
      <c r="L90" s="163"/>
      <c r="M90" s="163"/>
    </row>
    <row r="91" spans="1:13" ht="18.75">
      <c r="A91" s="885" t="s">
        <v>843</v>
      </c>
      <c r="B91" s="230"/>
      <c r="C91" s="231"/>
      <c r="D91" s="239"/>
      <c r="E91" s="728" t="s">
        <v>467</v>
      </c>
      <c r="F91" s="229">
        <f>F27*F82*F85*F90*E11*F78^2/2000</f>
        <v>6.269884957842007</v>
      </c>
      <c r="G91" s="163"/>
      <c r="H91" s="163"/>
      <c r="I91" s="163"/>
      <c r="J91" s="163"/>
      <c r="K91" s="163"/>
      <c r="L91" s="163"/>
      <c r="M91" s="163"/>
    </row>
    <row r="92" spans="1:13" ht="15.75">
      <c r="A92" s="883" t="s">
        <v>844</v>
      </c>
      <c r="B92" s="273"/>
      <c r="C92" s="274"/>
      <c r="D92" s="275"/>
      <c r="E92" s="729"/>
      <c r="F92" s="241"/>
      <c r="G92" s="269"/>
      <c r="H92" s="163"/>
      <c r="I92" s="163"/>
      <c r="J92" s="163"/>
      <c r="K92" s="163"/>
      <c r="L92" s="163"/>
      <c r="M92" s="163"/>
    </row>
    <row r="93" spans="1:13" ht="18.75">
      <c r="A93" s="885" t="s">
        <v>191</v>
      </c>
      <c r="B93" s="230"/>
      <c r="C93" s="231"/>
      <c r="D93" s="239"/>
      <c r="E93" s="728" t="s">
        <v>468</v>
      </c>
      <c r="F93" s="280">
        <f>F89+F86+F91</f>
        <v>11.595797724097848</v>
      </c>
      <c r="G93" s="798"/>
      <c r="H93" s="163"/>
      <c r="I93" s="163"/>
      <c r="J93" s="163"/>
      <c r="K93" s="163"/>
      <c r="L93" s="163"/>
      <c r="M93" s="163"/>
    </row>
    <row r="94" spans="1:13" ht="12.75">
      <c r="A94" s="163"/>
      <c r="B94" s="163"/>
      <c r="C94" s="163"/>
      <c r="D94" s="163"/>
      <c r="E94" s="163"/>
      <c r="F94" s="163"/>
      <c r="G94" s="163"/>
      <c r="H94" s="163"/>
      <c r="I94" s="163"/>
      <c r="J94" s="163"/>
      <c r="K94" s="163"/>
      <c r="L94" s="163"/>
      <c r="M94" s="163"/>
    </row>
  </sheetData>
  <sheetProtection password="C784" sheet="1" objects="1" scenarios="1"/>
  <dataValidations count="20">
    <dataValidation type="list" allowBlank="1" showInputMessage="1" showErrorMessage="1" promptTitle="SPOLJNJI PRECNIK CEVI" prompt="Uneti precnik cevi iz menija" sqref="F15">
      <formula1>"0,010,0,012,0,014,0,015,0,016,0,018,0,02,0,022,0,025"</formula1>
    </dataValidation>
    <dataValidation allowBlank="1" showInputMessage="1" showErrorMessage="1" promptTitle="KORACI MREZNOG RASPOREDA" prompt="Nijedan korak ne moze biti manji od poluprecnika otvora za cev" sqref="E18:F18"/>
    <dataValidation type="list" allowBlank="1" showInputMessage="1" showErrorMessage="1" promptTitle="BROJ PROLAZA FLUIDA U REGISTRU" prompt="Za U cev zr=2 ili vece&#10;Uneti vrednost iz menija" sqref="F22">
      <formula1>"1,2,4,6,8"</formula1>
    </dataValidation>
    <dataValidation type="list" allowBlank="1" showInputMessage="1" showErrorMessage="1" promptTitle="KONSTRUKCIJA CEVI REGISTRA" prompt="Pri zr=1, ne moze U cev" sqref="D15">
      <formula1>"U cev,Prava"</formula1>
    </dataValidation>
    <dataValidation type="list" allowBlank="1" showInputMessage="1" showErrorMessage="1" promptTitle="BROJ PROLAZA FLUIDA U OMOTACU" prompt="Za pravu cev mora biti zo=1&#10;Uneti vrednost iz menija" sqref="F23">
      <formula1>"1,2,4"</formula1>
    </dataValidation>
    <dataValidation allowBlank="1" showInputMessage="1" showErrorMessage="1" promptTitle="POCETNI VERTIKALNI KORAK OD OSE " prompt="Nijedan korak ne moze biti manji od poluprecnika otvora za cev" sqref="E19"/>
    <dataValidation allowBlank="1" showInputMessage="1" showErrorMessage="1" promptTitle="POCETNI HORIZONTAL KORAK OD OSE " prompt="Nijedan korak ne moze biti manji od poluprecnika otvora za cev" sqref="F19"/>
    <dataValidation type="list" allowBlank="1" showInputMessage="1" showErrorMessage="1" sqref="D17">
      <formula1>"ŠAHOVSKI,KORIDORNI"</formula1>
    </dataValidation>
    <dataValidation allowBlank="1" showInputMessage="1" showErrorMessage="1" promptTitle="SVOJSTVA FLUIDA NA TEMP. ZIDA" prompt="Ako podaci nisu uneti smatra se da je strujanje izotermno" sqref="F11:F12"/>
    <dataValidation type="list" allowBlank="1" showInputMessage="1" showErrorMessage="1" promptTitle="TIP RASPOREDA OTVORA U PLOCI" prompt="1 sahovski raspored, prvi otvor 11&#10;2 sahovski raspored, prvi otvor 12 ili 21&#10;1 uvek kod koridornog rasporeda" sqref="F17">
      <formula1>"1,2"</formula1>
    </dataValidation>
    <dataValidation allowBlank="1" showInputMessage="1" showErrorMessage="1" promptTitle="Broj poprecnih pregrada " prompt="Odnosi se na duzinu struje u omota~u. Mora biti broj deljiv sa zo" sqref="F27"/>
    <dataValidation type="list" allowBlank="1" showInputMessage="1" showErrorMessage="1" sqref="K82:L82">
      <formula1>"GADDIS,BELL-DELAWARE"</formula1>
    </dataValidation>
    <dataValidation allowBlank="1" showInputMessage="1" showErrorMessage="1" prompt="Ako Excel padne uneti proizvoljnu vrednost&#10;a zatim =m37" sqref="F36"/>
    <dataValidation allowBlank="1" showInputMessage="1" showErrorMessage="1" prompt="Srednja temperatura fluida u omotacu" sqref="E10"/>
    <dataValidation allowBlank="1" showInputMessage="1" showErrorMessage="1" prompt="Temperatura zida cevi registra sa strane omotaca" sqref="F10"/>
    <dataValidation allowBlank="1" showInputMessage="1" showErrorMessage="1" prompt="Uneti vrednost iz geometrije usvojenog aparata" sqref="F20:F21"/>
    <dataValidation allowBlank="1" showInputMessage="1" showErrorMessage="1" prompt="Uneti vrednosti iz geometrije usvojenog aparata" sqref="F24:F26 F30 F33"/>
    <dataValidation allowBlank="1" showInputMessage="1" showErrorMessage="1" promptTitle="Duzina pravog dela registra" prompt="Unosi se vrednost iz geometrije aparata.&#10;Moze se varirati za promenu koeficijenta prelaza toplote" sqref="F32"/>
    <dataValidation allowBlank="1" showInputMessage="1" showErrorMessage="1" prompt="Uobicajena vrednost 0.001 m" sqref="M25"/>
    <dataValidation allowBlank="1" showInputMessage="1" showErrorMessage="1" promptTitle="Jedinicni pad pritska prikljucka" prompt="Za vecinu cevnih mreza odgovara R=100 Pa/m" sqref="L35"/>
  </dataValidations>
  <printOptions/>
  <pageMargins left="0.7" right="0.2" top="0.7" bottom="0.7" header="0.3" footer="0.3"/>
  <pageSetup horizontalDpi="300" verticalDpi="300" orientation="portrait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68"/>
  <sheetViews>
    <sheetView showGridLines="0" zoomScale="90" zoomScaleNormal="90" workbookViewId="0" topLeftCell="A1">
      <selection activeCell="E15" sqref="E15"/>
    </sheetView>
  </sheetViews>
  <sheetFormatPr defaultColWidth="9.140625" defaultRowHeight="12.75"/>
  <cols>
    <col min="1" max="1" width="12.7109375" style="0" customWidth="1"/>
    <col min="2" max="10" width="11.7109375" style="0" customWidth="1"/>
  </cols>
  <sheetData>
    <row r="1" ht="12.75">
      <c r="J1" s="659" t="str">
        <f>GEOMETRIJA!M1</f>
        <v>ver.: v2, jun 2002.</v>
      </c>
    </row>
    <row r="6" spans="1:10" ht="18" customHeight="1">
      <c r="A6" s="163"/>
      <c r="B6" s="164"/>
      <c r="C6" s="944" t="s">
        <v>876</v>
      </c>
      <c r="D6" s="165"/>
      <c r="E6" s="165"/>
      <c r="F6" s="165"/>
      <c r="G6" s="165"/>
      <c r="H6" s="166"/>
      <c r="I6" s="167"/>
      <c r="J6" s="945" t="s">
        <v>159</v>
      </c>
    </row>
    <row r="7" spans="1:10" ht="18" customHeight="1">
      <c r="A7" s="908" t="s">
        <v>877</v>
      </c>
      <c r="B7" s="168" t="s">
        <v>50</v>
      </c>
      <c r="C7" s="168" t="s">
        <v>55</v>
      </c>
      <c r="D7" s="200" t="s">
        <v>52</v>
      </c>
      <c r="E7" s="168" t="s">
        <v>161</v>
      </c>
      <c r="F7" s="168" t="s">
        <v>384</v>
      </c>
      <c r="G7" s="168" t="s">
        <v>385</v>
      </c>
      <c r="H7" s="168" t="s">
        <v>386</v>
      </c>
      <c r="I7" s="168" t="s">
        <v>387</v>
      </c>
      <c r="J7" s="168" t="s">
        <v>160</v>
      </c>
    </row>
    <row r="8" spans="1:10" ht="18" customHeight="1" thickBot="1">
      <c r="A8" s="163"/>
      <c r="B8" s="946" t="s">
        <v>878</v>
      </c>
      <c r="C8" s="169"/>
      <c r="D8" s="947" t="s">
        <v>879</v>
      </c>
      <c r="E8" s="836"/>
      <c r="F8" s="169"/>
      <c r="G8" s="169"/>
      <c r="H8" s="169"/>
      <c r="I8" s="697" t="s">
        <v>390</v>
      </c>
      <c r="J8" s="43">
        <v>0.274</v>
      </c>
    </row>
    <row r="9" spans="1:10" ht="18" customHeight="1">
      <c r="A9" s="163"/>
      <c r="B9" s="163"/>
      <c r="C9" s="191" t="s">
        <v>270</v>
      </c>
      <c r="D9" s="699" t="s">
        <v>479</v>
      </c>
      <c r="E9" s="699" t="s">
        <v>480</v>
      </c>
      <c r="F9" s="191" t="s">
        <v>270</v>
      </c>
      <c r="G9" s="699" t="s">
        <v>481</v>
      </c>
      <c r="H9" s="700" t="s">
        <v>482</v>
      </c>
      <c r="I9" s="697" t="s">
        <v>274</v>
      </c>
      <c r="J9" s="43">
        <v>2.08</v>
      </c>
    </row>
    <row r="10" spans="1:14" ht="18" customHeight="1">
      <c r="A10" s="946" t="s">
        <v>47</v>
      </c>
      <c r="B10" s="169"/>
      <c r="C10" s="187" t="s">
        <v>65</v>
      </c>
      <c r="D10" s="11">
        <v>110</v>
      </c>
      <c r="E10" s="188">
        <v>100</v>
      </c>
      <c r="F10" s="187" t="s">
        <v>269</v>
      </c>
      <c r="G10" s="11">
        <v>90</v>
      </c>
      <c r="H10" s="188">
        <v>80</v>
      </c>
      <c r="I10" s="697" t="s">
        <v>275</v>
      </c>
      <c r="J10" s="43">
        <v>0.624</v>
      </c>
      <c r="N10" s="8"/>
    </row>
    <row r="11" spans="1:14" ht="18" customHeight="1" thickBot="1">
      <c r="A11" s="744" t="s">
        <v>603</v>
      </c>
      <c r="B11" s="33">
        <v>40</v>
      </c>
      <c r="C11" s="696" t="s">
        <v>388</v>
      </c>
      <c r="D11" s="189">
        <v>4.224</v>
      </c>
      <c r="E11" s="190">
        <v>4.211</v>
      </c>
      <c r="F11" s="696" t="s">
        <v>389</v>
      </c>
      <c r="G11" s="189">
        <v>4.202</v>
      </c>
      <c r="H11" s="190">
        <v>4.194</v>
      </c>
      <c r="I11" s="698" t="s">
        <v>276</v>
      </c>
      <c r="J11" s="43">
        <v>0.508</v>
      </c>
      <c r="N11" s="8"/>
    </row>
    <row r="12" spans="1:10" ht="18" customHeight="1">
      <c r="A12" s="948" t="s">
        <v>880</v>
      </c>
      <c r="B12" s="949"/>
      <c r="C12" s="950"/>
      <c r="D12" s="950"/>
      <c r="E12" s="197">
        <v>1</v>
      </c>
      <c r="F12" s="197">
        <v>2</v>
      </c>
      <c r="G12" s="197">
        <v>3</v>
      </c>
      <c r="H12" s="197">
        <v>4</v>
      </c>
      <c r="I12" s="198">
        <v>2</v>
      </c>
      <c r="J12" s="942"/>
    </row>
    <row r="13" spans="1:25" ht="18" customHeight="1">
      <c r="A13" s="746" t="s">
        <v>392</v>
      </c>
      <c r="B13" s="951">
        <v>130</v>
      </c>
      <c r="C13" s="952">
        <f aca="true" t="shared" si="0" ref="C13:J16">$B13</f>
        <v>130</v>
      </c>
      <c r="D13" s="953">
        <f t="shared" si="0"/>
        <v>130</v>
      </c>
      <c r="E13" s="952">
        <f t="shared" si="0"/>
        <v>130</v>
      </c>
      <c r="F13" s="952">
        <f t="shared" si="0"/>
        <v>130</v>
      </c>
      <c r="G13" s="952">
        <f t="shared" si="0"/>
        <v>130</v>
      </c>
      <c r="H13" s="952">
        <f t="shared" si="0"/>
        <v>130</v>
      </c>
      <c r="I13" s="952">
        <f t="shared" si="0"/>
        <v>130</v>
      </c>
      <c r="J13" s="953">
        <f t="shared" si="0"/>
        <v>130</v>
      </c>
      <c r="T13" s="184"/>
      <c r="U13" s="193"/>
      <c r="V13" s="193"/>
      <c r="W13" s="184"/>
      <c r="X13" s="193"/>
      <c r="Y13" s="193"/>
    </row>
    <row r="14" spans="1:10" ht="18" customHeight="1">
      <c r="A14" s="747" t="s">
        <v>393</v>
      </c>
      <c r="B14" s="954">
        <v>70</v>
      </c>
      <c r="C14" s="955">
        <f t="shared" si="0"/>
        <v>70</v>
      </c>
      <c r="D14" s="956">
        <f t="shared" si="0"/>
        <v>70</v>
      </c>
      <c r="E14" s="955">
        <f t="shared" si="0"/>
        <v>70</v>
      </c>
      <c r="F14" s="955">
        <f t="shared" si="0"/>
        <v>70</v>
      </c>
      <c r="G14" s="955">
        <f t="shared" si="0"/>
        <v>70</v>
      </c>
      <c r="H14" s="955">
        <f t="shared" si="0"/>
        <v>70</v>
      </c>
      <c r="I14" s="955">
        <f t="shared" si="0"/>
        <v>70</v>
      </c>
      <c r="J14" s="956">
        <f t="shared" si="0"/>
        <v>70</v>
      </c>
    </row>
    <row r="15" spans="1:10" ht="18" customHeight="1">
      <c r="A15" s="747" t="s">
        <v>394</v>
      </c>
      <c r="B15" s="954">
        <v>2.5</v>
      </c>
      <c r="C15" s="955">
        <f t="shared" si="0"/>
        <v>2.5</v>
      </c>
      <c r="D15" s="956">
        <f t="shared" si="0"/>
        <v>2.5</v>
      </c>
      <c r="E15" s="955">
        <f t="shared" si="0"/>
        <v>2.5</v>
      </c>
      <c r="F15" s="955">
        <f t="shared" si="0"/>
        <v>2.5</v>
      </c>
      <c r="G15" s="955">
        <f t="shared" si="0"/>
        <v>2.5</v>
      </c>
      <c r="H15" s="955">
        <f t="shared" si="0"/>
        <v>2.5</v>
      </c>
      <c r="I15" s="955">
        <f t="shared" si="0"/>
        <v>2.5</v>
      </c>
      <c r="J15" s="956">
        <f t="shared" si="0"/>
        <v>2.5</v>
      </c>
    </row>
    <row r="16" spans="1:10" ht="18" customHeight="1">
      <c r="A16" s="735" t="s">
        <v>395</v>
      </c>
      <c r="B16" s="957">
        <v>5</v>
      </c>
      <c r="C16" s="958">
        <f t="shared" si="0"/>
        <v>5</v>
      </c>
      <c r="D16" s="959">
        <f t="shared" si="0"/>
        <v>5</v>
      </c>
      <c r="E16" s="958">
        <f t="shared" si="0"/>
        <v>5</v>
      </c>
      <c r="F16" s="958">
        <f t="shared" si="0"/>
        <v>5</v>
      </c>
      <c r="G16" s="958">
        <f t="shared" si="0"/>
        <v>5</v>
      </c>
      <c r="H16" s="958">
        <f t="shared" si="0"/>
        <v>5</v>
      </c>
      <c r="I16" s="958">
        <f t="shared" si="0"/>
        <v>5</v>
      </c>
      <c r="J16" s="959">
        <f t="shared" si="0"/>
        <v>5</v>
      </c>
    </row>
    <row r="17" spans="1:10" ht="18" customHeight="1">
      <c r="A17" s="747" t="s">
        <v>396</v>
      </c>
      <c r="B17" s="960">
        <v>4.5</v>
      </c>
      <c r="C17" s="961">
        <v>4.5</v>
      </c>
      <c r="D17" s="961">
        <v>4.2</v>
      </c>
      <c r="E17" s="961">
        <v>4.3</v>
      </c>
      <c r="F17" s="961">
        <v>4.5</v>
      </c>
      <c r="G17" s="961">
        <v>4.2</v>
      </c>
      <c r="H17" s="961">
        <v>4.5</v>
      </c>
      <c r="I17" s="961">
        <v>4.5</v>
      </c>
      <c r="J17" s="961">
        <v>4.4</v>
      </c>
    </row>
    <row r="18" spans="1:10" ht="18" customHeight="1">
      <c r="A18" s="735" t="s">
        <v>397</v>
      </c>
      <c r="B18" s="962">
        <v>2</v>
      </c>
      <c r="C18" s="963">
        <v>2.2</v>
      </c>
      <c r="D18" s="963">
        <v>1.9</v>
      </c>
      <c r="E18" s="963">
        <v>1.8</v>
      </c>
      <c r="F18" s="963">
        <v>2.2</v>
      </c>
      <c r="G18" s="963">
        <v>2.2</v>
      </c>
      <c r="H18" s="963">
        <v>2.3</v>
      </c>
      <c r="I18" s="963">
        <v>2.2</v>
      </c>
      <c r="J18" s="963">
        <v>2.1</v>
      </c>
    </row>
    <row r="19" spans="1:10" ht="18" customHeight="1">
      <c r="A19" s="163"/>
      <c r="B19" s="163"/>
      <c r="C19" s="163"/>
      <c r="D19" s="163"/>
      <c r="E19" s="163"/>
      <c r="F19" s="163"/>
      <c r="G19" s="163"/>
      <c r="H19" s="163"/>
      <c r="I19" s="163"/>
      <c r="J19" s="199"/>
    </row>
    <row r="20" spans="1:10" ht="18" customHeight="1">
      <c r="A20" s="163"/>
      <c r="B20" s="929" t="s">
        <v>881</v>
      </c>
      <c r="C20" s="169"/>
      <c r="D20" s="169"/>
      <c r="E20" s="163"/>
      <c r="F20" s="163"/>
      <c r="G20" s="163"/>
      <c r="H20" s="163"/>
      <c r="I20" s="163"/>
      <c r="J20" s="163"/>
    </row>
    <row r="21" spans="1:10" ht="18" customHeight="1">
      <c r="A21" s="746" t="s">
        <v>483</v>
      </c>
      <c r="B21" s="964">
        <f>B45</f>
        <v>110.11487094749927</v>
      </c>
      <c r="C21" s="326">
        <f aca="true" t="shared" si="1" ref="C21:J21">C45</f>
        <v>102.44041963396944</v>
      </c>
      <c r="D21" s="326">
        <f t="shared" si="1"/>
        <v>106.46129237520441</v>
      </c>
      <c r="E21" s="326">
        <f t="shared" si="1"/>
        <v>107.40155943170487</v>
      </c>
      <c r="F21" s="326">
        <f t="shared" si="1"/>
        <v>103.9237238574683</v>
      </c>
      <c r="G21" s="326">
        <f t="shared" si="1"/>
        <v>103.11065262848602</v>
      </c>
      <c r="H21" s="326">
        <f t="shared" si="1"/>
        <v>102.81822173880406</v>
      </c>
      <c r="I21" s="326">
        <f t="shared" si="1"/>
        <v>103.79857330308647</v>
      </c>
      <c r="J21" s="326">
        <f t="shared" si="1"/>
        <v>107.37280128622345</v>
      </c>
    </row>
    <row r="22" spans="1:10" ht="18" customHeight="1">
      <c r="A22" s="735" t="s">
        <v>484</v>
      </c>
      <c r="B22" s="965">
        <f>B46</f>
        <v>80.01401169613743</v>
      </c>
      <c r="C22" s="966">
        <f aca="true" t="shared" si="2" ref="C22:J22">C46</f>
        <v>83.83594523837432</v>
      </c>
      <c r="D22" s="966">
        <f t="shared" si="2"/>
        <v>81.83648490467085</v>
      </c>
      <c r="E22" s="966">
        <f t="shared" si="2"/>
        <v>81.36797737564726</v>
      </c>
      <c r="F22" s="966">
        <f t="shared" si="2"/>
        <v>83.09910074896906</v>
      </c>
      <c r="G22" s="966">
        <f t="shared" si="2"/>
        <v>83.50311082455141</v>
      </c>
      <c r="H22" s="966">
        <f t="shared" si="2"/>
        <v>83.64835281468265</v>
      </c>
      <c r="I22" s="966">
        <f t="shared" si="2"/>
        <v>83.16130463082965</v>
      </c>
      <c r="J22" s="966">
        <f t="shared" si="2"/>
        <v>81.38231200821596</v>
      </c>
    </row>
    <row r="23" spans="1:10" ht="18" customHeight="1">
      <c r="A23" s="747" t="s">
        <v>396</v>
      </c>
      <c r="B23" s="953">
        <f>IF($C9="JESTE",($D$11-$E$11)*(B21-$E$10)/($D$10-$E$10)+$E$11,B17)</f>
        <v>4.224149332231749</v>
      </c>
      <c r="C23" s="953">
        <f aca="true" t="shared" si="3" ref="C23:J23">IF($C9="JESTE",($D$11-$E$11)*(C21-$E$10)/($D$10-$E$10)+$E$11,C17)</f>
        <v>4.2141725455241605</v>
      </c>
      <c r="D23" s="953">
        <f t="shared" si="3"/>
        <v>4.219399680087766</v>
      </c>
      <c r="E23" s="953">
        <f t="shared" si="3"/>
        <v>4.220622027261217</v>
      </c>
      <c r="F23" s="953">
        <f t="shared" si="3"/>
        <v>4.216100841014709</v>
      </c>
      <c r="G23" s="953">
        <f t="shared" si="3"/>
        <v>4.215043848417032</v>
      </c>
      <c r="H23" s="953">
        <f t="shared" si="3"/>
        <v>4.214663688260446</v>
      </c>
      <c r="I23" s="953">
        <f t="shared" si="3"/>
        <v>4.215938145294013</v>
      </c>
      <c r="J23" s="953">
        <f t="shared" si="3"/>
        <v>4.220584641672091</v>
      </c>
    </row>
    <row r="24" spans="1:10" ht="18" customHeight="1">
      <c r="A24" s="735" t="s">
        <v>397</v>
      </c>
      <c r="B24" s="959">
        <f>IF($F9="JESTE",($G$11-$H$11)*(B22-$H$10)/($G$10-$H$10)+$H$11,B18)</f>
        <v>4.19401120935691</v>
      </c>
      <c r="C24" s="959">
        <f aca="true" t="shared" si="4" ref="C24:J24">IF($F9="JESTE",($G$11-$H$11)*(C22-$H$10)/($G$10-$H$10)+$H$11,C18)</f>
        <v>4.197068756190699</v>
      </c>
      <c r="D24" s="959">
        <f t="shared" si="4"/>
        <v>4.195469187923736</v>
      </c>
      <c r="E24" s="959">
        <f t="shared" si="4"/>
        <v>4.1950943819005175</v>
      </c>
      <c r="F24" s="959">
        <f t="shared" si="4"/>
        <v>4.196479280599175</v>
      </c>
      <c r="G24" s="959">
        <f t="shared" si="4"/>
        <v>4.196802488659641</v>
      </c>
      <c r="H24" s="959">
        <f t="shared" si="4"/>
        <v>4.196918682251746</v>
      </c>
      <c r="I24" s="959">
        <f t="shared" si="4"/>
        <v>4.196529043704664</v>
      </c>
      <c r="J24" s="959">
        <f t="shared" si="4"/>
        <v>4.1951058496065725</v>
      </c>
    </row>
    <row r="25" spans="1:10" ht="18" customHeight="1">
      <c r="A25" s="683" t="s">
        <v>602</v>
      </c>
      <c r="B25" s="312">
        <f aca="true" t="shared" si="5" ref="B25:J25">B13-B14</f>
        <v>60</v>
      </c>
      <c r="C25" s="312">
        <f t="shared" si="5"/>
        <v>60</v>
      </c>
      <c r="D25" s="312">
        <f t="shared" si="5"/>
        <v>60</v>
      </c>
      <c r="E25" s="312">
        <f t="shared" si="5"/>
        <v>60</v>
      </c>
      <c r="F25" s="312">
        <f t="shared" si="5"/>
        <v>60</v>
      </c>
      <c r="G25" s="312">
        <f t="shared" si="5"/>
        <v>60</v>
      </c>
      <c r="H25" s="312">
        <f t="shared" si="5"/>
        <v>60</v>
      </c>
      <c r="I25" s="312">
        <f t="shared" si="5"/>
        <v>60</v>
      </c>
      <c r="J25" s="312">
        <f t="shared" si="5"/>
        <v>60</v>
      </c>
    </row>
    <row r="26" spans="1:14" ht="18" customHeight="1">
      <c r="A26" s="746" t="s">
        <v>398</v>
      </c>
      <c r="B26" s="326">
        <f aca="true" t="shared" si="6" ref="B26:J26">B15*B23</f>
        <v>10.560373330579374</v>
      </c>
      <c r="C26" s="326">
        <f t="shared" si="6"/>
        <v>10.535431363810401</v>
      </c>
      <c r="D26" s="326">
        <f t="shared" si="6"/>
        <v>10.548499200219414</v>
      </c>
      <c r="E26" s="326">
        <f t="shared" si="6"/>
        <v>10.551555068153043</v>
      </c>
      <c r="F26" s="326">
        <f t="shared" si="6"/>
        <v>10.540252102536773</v>
      </c>
      <c r="G26" s="326">
        <f t="shared" si="6"/>
        <v>10.53760962104258</v>
      </c>
      <c r="H26" s="326">
        <f t="shared" si="6"/>
        <v>10.536659220651114</v>
      </c>
      <c r="I26" s="326">
        <f t="shared" si="6"/>
        <v>10.539845363235031</v>
      </c>
      <c r="J26" s="326">
        <f t="shared" si="6"/>
        <v>10.551461604180227</v>
      </c>
      <c r="K26" s="1"/>
      <c r="L26" s="1"/>
      <c r="M26" s="1"/>
      <c r="N26" s="1"/>
    </row>
    <row r="27" spans="1:14" ht="18" customHeight="1">
      <c r="A27" s="735" t="s">
        <v>399</v>
      </c>
      <c r="B27" s="967">
        <f aca="true" t="shared" si="7" ref="B27:J27">B16*B24</f>
        <v>20.97005604678455</v>
      </c>
      <c r="C27" s="967">
        <f t="shared" si="7"/>
        <v>20.985343780953496</v>
      </c>
      <c r="D27" s="967">
        <f t="shared" si="7"/>
        <v>20.97734593961868</v>
      </c>
      <c r="E27" s="967">
        <f t="shared" si="7"/>
        <v>20.975471909502588</v>
      </c>
      <c r="F27" s="967">
        <f t="shared" si="7"/>
        <v>20.982396402995874</v>
      </c>
      <c r="G27" s="967">
        <f t="shared" si="7"/>
        <v>20.984012443298205</v>
      </c>
      <c r="H27" s="967">
        <f t="shared" si="7"/>
        <v>20.98459341125873</v>
      </c>
      <c r="I27" s="967">
        <f t="shared" si="7"/>
        <v>20.98264521852332</v>
      </c>
      <c r="J27" s="967">
        <f t="shared" si="7"/>
        <v>20.975529248032863</v>
      </c>
      <c r="K27" s="1"/>
      <c r="L27" s="1"/>
      <c r="M27" s="1"/>
      <c r="N27" s="1"/>
    </row>
    <row r="28" spans="1:14" ht="18" customHeight="1">
      <c r="A28" s="701" t="s">
        <v>485</v>
      </c>
      <c r="B28" s="326">
        <f>IF(B27&lt;B26,B27/B26,B26/B27)</f>
        <v>0.5035929950315347</v>
      </c>
      <c r="C28" s="326">
        <f>IF(C27&lt;C26,C27/C26,C26/C27)</f>
        <v>0.5020375874600854</v>
      </c>
      <c r="D28" s="326">
        <f aca="true" t="shared" si="8" ref="D28:I28">IF(D27&lt;D26,D27/D26,D26/D27)</f>
        <v>0.5028519446922541</v>
      </c>
      <c r="E28" s="326">
        <f t="shared" si="8"/>
        <v>0.5030425591222497</v>
      </c>
      <c r="F28" s="326">
        <f t="shared" si="8"/>
        <v>0.5023378597990757</v>
      </c>
      <c r="G28" s="326">
        <f t="shared" si="8"/>
        <v>0.502173244965266</v>
      </c>
      <c r="H28" s="326">
        <f t="shared" si="8"/>
        <v>0.5021140516831719</v>
      </c>
      <c r="I28" s="326">
        <f t="shared" si="8"/>
        <v>0.5023125184393117</v>
      </c>
      <c r="J28" s="326">
        <f>J26/J27</f>
        <v>0.5030367281516755</v>
      </c>
      <c r="K28" s="1"/>
      <c r="L28" s="1"/>
      <c r="M28" s="1"/>
      <c r="N28" s="1"/>
    </row>
    <row r="29" spans="1:14" ht="18" customHeight="1">
      <c r="A29" s="667" t="s">
        <v>402</v>
      </c>
      <c r="B29" s="966">
        <f aca="true" t="shared" si="9" ref="B29:I29">$B$11/IF(B27&lt;B26,B27,B26)</f>
        <v>3.787744878694121</v>
      </c>
      <c r="C29" s="966">
        <f t="shared" si="9"/>
        <v>3.7967121248970868</v>
      </c>
      <c r="D29" s="966">
        <f t="shared" si="9"/>
        <v>3.7920086299260447</v>
      </c>
      <c r="E29" s="966">
        <f t="shared" si="9"/>
        <v>3.790910414781321</v>
      </c>
      <c r="F29" s="966">
        <f t="shared" si="9"/>
        <v>3.7949756429804</v>
      </c>
      <c r="G29" s="966">
        <f t="shared" si="9"/>
        <v>3.795927296464266</v>
      </c>
      <c r="H29" s="966">
        <f t="shared" si="9"/>
        <v>3.7962696868474977</v>
      </c>
      <c r="I29" s="966">
        <f t="shared" si="9"/>
        <v>3.7951220934917647</v>
      </c>
      <c r="J29" s="966">
        <f>$B$11/J26</f>
        <v>3.790943994351739</v>
      </c>
      <c r="K29" s="1"/>
      <c r="L29" s="1"/>
      <c r="M29" s="1"/>
      <c r="N29" s="1"/>
    </row>
    <row r="30" spans="1:14" ht="18" customHeight="1">
      <c r="A30" s="701" t="s">
        <v>485</v>
      </c>
      <c r="B30" s="326">
        <f>EXP((1+B28)*B29)</f>
        <v>297.4442066040705</v>
      </c>
      <c r="C30" s="326">
        <f>EXP((1-C28)*C29)</f>
        <v>6.623473494734264</v>
      </c>
      <c r="D30" s="326">
        <f>EXP(D29)</f>
        <v>44.34538434410993</v>
      </c>
      <c r="E30" s="326">
        <f>EXP(E29*(1+E28^2)^0.5/E12)</f>
        <v>69.65381165228023</v>
      </c>
      <c r="F30" s="326">
        <f>EXP(F29*(1+F28^2)^0.5/F12)</f>
        <v>8.35987480212043</v>
      </c>
      <c r="G30" s="326">
        <f>EXP(G29*(1+G28^2)^0.5/G12)</f>
        <v>4.120153726024876</v>
      </c>
      <c r="H30" s="326">
        <f>EXP(H29*(1+H28^2)^0.5/H12)</f>
        <v>2.8921160477523506</v>
      </c>
      <c r="I30" s="326">
        <f>EXP(I29*(1+I28^2)^(1/3)/I12)</f>
        <v>7.7318513603294985</v>
      </c>
      <c r="J30" s="968"/>
      <c r="K30" s="1"/>
      <c r="L30" s="1"/>
      <c r="M30" s="1"/>
      <c r="N30" s="1"/>
    </row>
    <row r="31" spans="1:14" ht="18" customHeight="1">
      <c r="A31" s="703" t="s">
        <v>400</v>
      </c>
      <c r="B31" s="969"/>
      <c r="C31" s="970"/>
      <c r="D31" s="971"/>
      <c r="E31" s="972">
        <f>2*(E30-1)/((E30-1)*(1+E28)+(E30+1)*(1+E28^2)^0.5)</f>
        <v>0.7532813522765046</v>
      </c>
      <c r="F31" s="973">
        <f>2*(F30-1)/((F30-1)*(1+F28)+(F30+1)*(1+F28^2)^0.5)</f>
        <v>0.6836385118311366</v>
      </c>
      <c r="G31" s="973">
        <f>2*(G30-1)/((G30-1)*(1+G28)+(G30+1)*(1+G28^2)^0.5)</f>
        <v>0.5990789691638091</v>
      </c>
      <c r="H31" s="973">
        <f>2*(H30-1)/((H30-1)*(1+H28)+(H30+1)*(1+H28^2)^0.5)</f>
        <v>0.5257792561909349</v>
      </c>
      <c r="I31" s="973">
        <f>2*(I30-1)/((I30-1)*(1+I28)+(I30+1)*(1+I28^2)^(1/3))</f>
        <v>0.6895531766719135</v>
      </c>
      <c r="J31" s="974"/>
      <c r="K31" s="1"/>
      <c r="L31" s="1"/>
      <c r="M31" s="1"/>
      <c r="N31" s="1"/>
    </row>
    <row r="32" spans="1:14" ht="18" customHeight="1">
      <c r="A32" s="667" t="s">
        <v>51</v>
      </c>
      <c r="B32" s="966">
        <f>(B30-1)/(B30*(1+B28))</f>
        <v>0.6628376350833579</v>
      </c>
      <c r="C32" s="966">
        <f>(C30-1)/(C30-C28)</f>
        <v>0.9186526788676853</v>
      </c>
      <c r="D32" s="966">
        <f>(D30-1)/(D30+D28*(D30-1)/2)</f>
        <v>0.7846235874931862</v>
      </c>
      <c r="E32" s="966">
        <f>(((1-E28*E31)/(1-E31))^E12-1)/(((1-E28*E31)/(1-E31))^E12-E28)</f>
        <v>0.7532813522765045</v>
      </c>
      <c r="F32" s="966">
        <f>(((1-F28*F31)/(1-F31))^F12-1)/(((1-F28*F31)/(1-F31))^F12-F28)</f>
        <v>0.8692092047510563</v>
      </c>
      <c r="G32" s="966">
        <f>(((1-G28*G31)/(1-G31))^G12-1)/(((1-G28*G31)/(1-G31))^G12-G28)</f>
        <v>0.8963115790504658</v>
      </c>
      <c r="H32" s="966">
        <f>(((1-H28*H31)/(1-H31))^H12-1)/(((1-H28*H31)/(1-H31))^H12-H28)</f>
        <v>0.9060592753731982</v>
      </c>
      <c r="I32" s="966">
        <f>(((1-I28*I31)/(1-I31))^I12-1)/(((1-I28*I31)/(1-I31))^I12-I28)</f>
        <v>0.8733808898971175</v>
      </c>
      <c r="J32" s="966">
        <f>(EXP(J36*J29*(1-J28))-1)/(EXP(J36*J29*(1-J28))-J28)</f>
        <v>0.7542399571258853</v>
      </c>
      <c r="K32" s="1"/>
      <c r="L32" s="1"/>
      <c r="M32" s="1"/>
      <c r="N32" s="1"/>
    </row>
    <row r="33" spans="1:14" ht="18" customHeight="1">
      <c r="A33" s="176" t="s">
        <v>401</v>
      </c>
      <c r="B33" s="326">
        <f>B32*B25</f>
        <v>39.770258105001474</v>
      </c>
      <c r="C33" s="326">
        <f aca="true" t="shared" si="10" ref="C33:J33">C32*C25</f>
        <v>55.11916073206112</v>
      </c>
      <c r="D33" s="326">
        <f t="shared" si="10"/>
        <v>47.07741524959117</v>
      </c>
      <c r="E33" s="326">
        <f t="shared" si="10"/>
        <v>45.19688113659027</v>
      </c>
      <c r="F33" s="326">
        <f t="shared" si="10"/>
        <v>52.15255228506338</v>
      </c>
      <c r="G33" s="326">
        <f t="shared" si="10"/>
        <v>53.77869474302795</v>
      </c>
      <c r="H33" s="326">
        <f t="shared" si="10"/>
        <v>54.36355652239189</v>
      </c>
      <c r="I33" s="326">
        <f t="shared" si="10"/>
        <v>52.40285339382705</v>
      </c>
      <c r="J33" s="326">
        <f t="shared" si="10"/>
        <v>45.254397427553116</v>
      </c>
      <c r="K33" s="1"/>
      <c r="L33" s="1"/>
      <c r="M33" s="1"/>
      <c r="N33" s="1"/>
    </row>
    <row r="34" spans="1:14" ht="18" customHeight="1">
      <c r="A34" s="178" t="s">
        <v>404</v>
      </c>
      <c r="B34" s="973">
        <f>B28*B33</f>
        <v>20.028023392274857</v>
      </c>
      <c r="C34" s="973">
        <f aca="true" t="shared" si="11" ref="C34:J34">C28*C33</f>
        <v>27.67189047674864</v>
      </c>
      <c r="D34" s="973">
        <f t="shared" si="11"/>
        <v>23.6729698093417</v>
      </c>
      <c r="E34" s="973">
        <f t="shared" si="11"/>
        <v>22.735954751294503</v>
      </c>
      <c r="F34" s="973">
        <f t="shared" si="11"/>
        <v>26.198201497938136</v>
      </c>
      <c r="G34" s="973">
        <f t="shared" si="11"/>
        <v>27.00622164910284</v>
      </c>
      <c r="H34" s="973">
        <f t="shared" si="11"/>
        <v>27.29670562936532</v>
      </c>
      <c r="I34" s="973">
        <f t="shared" si="11"/>
        <v>26.3226092616593</v>
      </c>
      <c r="J34" s="973">
        <f t="shared" si="11"/>
        <v>22.76462401643192</v>
      </c>
      <c r="K34" s="1"/>
      <c r="L34" s="1"/>
      <c r="M34" s="1"/>
      <c r="N34" s="1"/>
    </row>
    <row r="35" spans="1:14" ht="18" customHeight="1">
      <c r="A35" s="702" t="s">
        <v>49</v>
      </c>
      <c r="B35" s="973">
        <f>IF(B28=1,B25-B33,(B33-B34)/LN((B25-B34)/(B25-B33)))</f>
        <v>28.989012891798478</v>
      </c>
      <c r="C35" s="973">
        <f aca="true" t="shared" si="12" ref="C35:J35">IF(C28=1,C25-C33,(C33-C34)/LN((C25-C34)/(C25-C33)))</f>
        <v>14.517603368086586</v>
      </c>
      <c r="D35" s="973">
        <f t="shared" si="12"/>
        <v>22.64393613962953</v>
      </c>
      <c r="E35" s="973">
        <f t="shared" si="12"/>
        <v>24.329662591856053</v>
      </c>
      <c r="F35" s="973">
        <f t="shared" si="12"/>
        <v>17.77298819352275</v>
      </c>
      <c r="G35" s="973">
        <f t="shared" si="12"/>
        <v>16.04737926099963</v>
      </c>
      <c r="H35" s="973">
        <f t="shared" si="12"/>
        <v>15.394439707332918</v>
      </c>
      <c r="I35" s="973">
        <f t="shared" si="12"/>
        <v>17.51463977296192</v>
      </c>
      <c r="J35" s="973">
        <f t="shared" si="12"/>
        <v>24.278769889300822</v>
      </c>
      <c r="K35" s="1"/>
      <c r="L35" s="1"/>
      <c r="M35" s="1"/>
      <c r="N35" s="1"/>
    </row>
    <row r="36" spans="1:10" ht="18" customHeight="1">
      <c r="A36" s="704" t="s">
        <v>56</v>
      </c>
      <c r="B36" s="973">
        <f>B32*B25/(B29*B35)</f>
        <v>0.36219651097635186</v>
      </c>
      <c r="C36" s="973">
        <f aca="true" t="shared" si="13" ref="C36:I36">C32*C25/(C29*C35)</f>
        <v>0.9999999999999999</v>
      </c>
      <c r="D36" s="973">
        <f t="shared" si="13"/>
        <v>0.5482660722572087</v>
      </c>
      <c r="E36" s="973">
        <f t="shared" si="13"/>
        <v>0.4900369851215416</v>
      </c>
      <c r="F36" s="973">
        <f t="shared" si="13"/>
        <v>0.7732254178220199</v>
      </c>
      <c r="G36" s="973">
        <f t="shared" si="13"/>
        <v>0.8828527105801423</v>
      </c>
      <c r="H36" s="973">
        <f t="shared" si="13"/>
        <v>0.9302226647881809</v>
      </c>
      <c r="I36" s="973">
        <f t="shared" si="13"/>
        <v>0.7883661590000974</v>
      </c>
      <c r="J36" s="973">
        <f>1/(1+J8*J28^(J9*J11)*J29^J9)^J10</f>
        <v>0.49168475076610463</v>
      </c>
    </row>
    <row r="37" spans="1:10" ht="18" customHeight="1">
      <c r="A37" s="179" t="s">
        <v>403</v>
      </c>
      <c r="B37" s="966">
        <f>B35*B36</f>
        <v>10.499719326057892</v>
      </c>
      <c r="C37" s="966">
        <f aca="true" t="shared" si="14" ref="C37:J37">C35*C36</f>
        <v>14.517603368086585</v>
      </c>
      <c r="D37" s="966">
        <f t="shared" si="14"/>
        <v>12.414901927717743</v>
      </c>
      <c r="E37" s="966">
        <f t="shared" si="14"/>
        <v>11.922434505537492</v>
      </c>
      <c r="F37" s="966">
        <f t="shared" si="14"/>
        <v>13.742526221882455</v>
      </c>
      <c r="G37" s="966">
        <f t="shared" si="14"/>
        <v>14.167472278281084</v>
      </c>
      <c r="H37" s="966">
        <f t="shared" si="14"/>
        <v>14.320256727476211</v>
      </c>
      <c r="I37" s="966">
        <f t="shared" si="14"/>
        <v>13.807949284080328</v>
      </c>
      <c r="J37" s="966">
        <f t="shared" si="14"/>
        <v>11.93750092192848</v>
      </c>
    </row>
    <row r="38" spans="1:10" ht="18" customHeight="1">
      <c r="A38" s="701" t="s">
        <v>405</v>
      </c>
      <c r="B38" s="177">
        <f aca="true" t="shared" si="15" ref="B38:I38">B34*IF(B27&gt;B26,B27,B26)</f>
        <v>419.98877304231576</v>
      </c>
      <c r="C38" s="177">
        <f t="shared" si="15"/>
        <v>580.7041347234633</v>
      </c>
      <c r="D38" s="177">
        <f t="shared" si="15"/>
        <v>496.5960771087097</v>
      </c>
      <c r="E38" s="177">
        <f t="shared" si="15"/>
        <v>476.89738022149976</v>
      </c>
      <c r="F38" s="177">
        <f t="shared" si="15"/>
        <v>549.7010488752983</v>
      </c>
      <c r="G38" s="177">
        <f t="shared" si="15"/>
        <v>566.6988911312434</v>
      </c>
      <c r="H38" s="177">
        <f t="shared" si="15"/>
        <v>572.8102690990486</v>
      </c>
      <c r="I38" s="177">
        <f t="shared" si="15"/>
        <v>552.3179713632131</v>
      </c>
      <c r="J38" s="177">
        <f>J34*IF(J27&gt;J26,J27,J26)</f>
        <v>477.5000368771391</v>
      </c>
    </row>
    <row r="39" spans="1:10" ht="18" customHeight="1">
      <c r="A39" s="702" t="s">
        <v>406</v>
      </c>
      <c r="B39" s="975">
        <f aca="true" t="shared" si="16" ref="B39:I39">B33*IF(B27&gt;B26,B26,B27)</f>
        <v>419.98877304231576</v>
      </c>
      <c r="C39" s="975">
        <f t="shared" si="16"/>
        <v>580.7041347234634</v>
      </c>
      <c r="D39" s="975">
        <f t="shared" si="16"/>
        <v>496.5960771087097</v>
      </c>
      <c r="E39" s="975">
        <f t="shared" si="16"/>
        <v>476.8973802214997</v>
      </c>
      <c r="F39" s="975">
        <f t="shared" si="16"/>
        <v>549.7010488752983</v>
      </c>
      <c r="G39" s="975">
        <f t="shared" si="16"/>
        <v>566.6988911312434</v>
      </c>
      <c r="H39" s="975">
        <f t="shared" si="16"/>
        <v>572.8102690990485</v>
      </c>
      <c r="I39" s="975">
        <f t="shared" si="16"/>
        <v>552.3179713632131</v>
      </c>
      <c r="J39" s="975">
        <f>J33*IF(J27&gt;J26,J26,J27)</f>
        <v>477.50003687713917</v>
      </c>
    </row>
    <row r="40" spans="1:10" ht="18" customHeight="1">
      <c r="A40" s="667" t="s">
        <v>407</v>
      </c>
      <c r="B40" s="976">
        <f aca="true" t="shared" si="17" ref="B40:I40">$B$11*B37</f>
        <v>419.9887730423157</v>
      </c>
      <c r="C40" s="976">
        <f t="shared" si="17"/>
        <v>580.7041347234634</v>
      </c>
      <c r="D40" s="976">
        <f t="shared" si="17"/>
        <v>496.5960771087097</v>
      </c>
      <c r="E40" s="976">
        <f t="shared" si="17"/>
        <v>476.8973802214997</v>
      </c>
      <c r="F40" s="976">
        <f t="shared" si="17"/>
        <v>549.7010488752982</v>
      </c>
      <c r="G40" s="976">
        <f t="shared" si="17"/>
        <v>566.6988911312434</v>
      </c>
      <c r="H40" s="976">
        <f t="shared" si="17"/>
        <v>572.8102690990485</v>
      </c>
      <c r="I40" s="976">
        <f t="shared" si="17"/>
        <v>552.3179713632131</v>
      </c>
      <c r="J40" s="976">
        <f>$B$11*J37</f>
        <v>477.5000368771392</v>
      </c>
    </row>
    <row r="41" spans="1:10" ht="18" customHeight="1">
      <c r="A41" s="163"/>
      <c r="B41" s="163"/>
      <c r="C41" s="163"/>
      <c r="D41" s="163"/>
      <c r="E41" s="163"/>
      <c r="F41" s="163"/>
      <c r="G41" s="163"/>
      <c r="H41" s="163"/>
      <c r="I41" s="163"/>
      <c r="J41" s="163"/>
    </row>
    <row r="42" spans="1:10" ht="18" customHeight="1">
      <c r="A42" s="163"/>
      <c r="B42" s="929" t="s">
        <v>48</v>
      </c>
      <c r="C42" s="169"/>
      <c r="D42" s="169"/>
      <c r="E42" s="163"/>
      <c r="F42" s="163"/>
      <c r="G42" s="163"/>
      <c r="H42" s="163"/>
      <c r="I42" s="163"/>
      <c r="J42" s="163"/>
    </row>
    <row r="43" spans="1:10" ht="18" customHeight="1">
      <c r="A43" s="746" t="s">
        <v>413</v>
      </c>
      <c r="B43" s="977">
        <f>B13-IF(B26&gt;B27,B34,B33)</f>
        <v>90.22974189499853</v>
      </c>
      <c r="C43" s="977">
        <f aca="true" t="shared" si="18" ref="C43:J43">C13-IF(C14&gt;C13,C34,C33)</f>
        <v>74.88083926793888</v>
      </c>
      <c r="D43" s="977">
        <f t="shared" si="18"/>
        <v>82.92258475040883</v>
      </c>
      <c r="E43" s="977">
        <f t="shared" si="18"/>
        <v>84.80311886340974</v>
      </c>
      <c r="F43" s="977">
        <f t="shared" si="18"/>
        <v>77.84744771493662</v>
      </c>
      <c r="G43" s="977">
        <f t="shared" si="18"/>
        <v>76.22130525697204</v>
      </c>
      <c r="H43" s="977">
        <f t="shared" si="18"/>
        <v>75.63644347760811</v>
      </c>
      <c r="I43" s="977">
        <f t="shared" si="18"/>
        <v>77.59714660617294</v>
      </c>
      <c r="J43" s="977">
        <f t="shared" si="18"/>
        <v>84.74560257244688</v>
      </c>
    </row>
    <row r="44" spans="1:10" ht="18" customHeight="1">
      <c r="A44" s="747" t="s">
        <v>414</v>
      </c>
      <c r="B44" s="977">
        <f>B14+IF(B26&gt;B27,B33,B34)</f>
        <v>90.02802339227486</v>
      </c>
      <c r="C44" s="977">
        <f aca="true" t="shared" si="19" ref="C44:J44">C14+IF(C27&gt;C26,C34,C33)</f>
        <v>97.67189047674864</v>
      </c>
      <c r="D44" s="977">
        <f t="shared" si="19"/>
        <v>93.67296980934171</v>
      </c>
      <c r="E44" s="977">
        <f t="shared" si="19"/>
        <v>92.7359547512945</v>
      </c>
      <c r="F44" s="977">
        <f t="shared" si="19"/>
        <v>96.19820149793813</v>
      </c>
      <c r="G44" s="977">
        <f t="shared" si="19"/>
        <v>97.00622164910284</v>
      </c>
      <c r="H44" s="977">
        <f t="shared" si="19"/>
        <v>97.29670562936532</v>
      </c>
      <c r="I44" s="977">
        <f t="shared" si="19"/>
        <v>96.3226092616593</v>
      </c>
      <c r="J44" s="977">
        <f t="shared" si="19"/>
        <v>92.76462401643192</v>
      </c>
    </row>
    <row r="45" spans="1:10" ht="18" customHeight="1">
      <c r="A45" s="746" t="s">
        <v>483</v>
      </c>
      <c r="B45" s="978">
        <f aca="true" t="shared" si="20" ref="B45:J45">(B13+B43)/2</f>
        <v>110.11487094749927</v>
      </c>
      <c r="C45" s="978">
        <f t="shared" si="20"/>
        <v>102.44041963396944</v>
      </c>
      <c r="D45" s="978">
        <f t="shared" si="20"/>
        <v>106.46129237520441</v>
      </c>
      <c r="E45" s="978">
        <f t="shared" si="20"/>
        <v>107.40155943170487</v>
      </c>
      <c r="F45" s="978">
        <f t="shared" si="20"/>
        <v>103.9237238574683</v>
      </c>
      <c r="G45" s="978">
        <f t="shared" si="20"/>
        <v>103.11065262848602</v>
      </c>
      <c r="H45" s="978">
        <f t="shared" si="20"/>
        <v>102.81822173880406</v>
      </c>
      <c r="I45" s="978">
        <f t="shared" si="20"/>
        <v>103.79857330308647</v>
      </c>
      <c r="J45" s="978">
        <f t="shared" si="20"/>
        <v>107.37280128622345</v>
      </c>
    </row>
    <row r="46" spans="1:10" ht="18" customHeight="1">
      <c r="A46" s="735" t="s">
        <v>484</v>
      </c>
      <c r="B46" s="979">
        <f aca="true" t="shared" si="21" ref="B46:J46">(B14+B44)/2</f>
        <v>80.01401169613743</v>
      </c>
      <c r="C46" s="979">
        <f t="shared" si="21"/>
        <v>83.83594523837432</v>
      </c>
      <c r="D46" s="979">
        <f t="shared" si="21"/>
        <v>81.83648490467085</v>
      </c>
      <c r="E46" s="979">
        <f t="shared" si="21"/>
        <v>81.36797737564726</v>
      </c>
      <c r="F46" s="979">
        <f t="shared" si="21"/>
        <v>83.09910074896906</v>
      </c>
      <c r="G46" s="979">
        <f t="shared" si="21"/>
        <v>83.50311082455141</v>
      </c>
      <c r="H46" s="979">
        <f t="shared" si="21"/>
        <v>83.64835281468265</v>
      </c>
      <c r="I46" s="979">
        <f t="shared" si="21"/>
        <v>83.16130463082965</v>
      </c>
      <c r="J46" s="979">
        <f t="shared" si="21"/>
        <v>81.38231200821596</v>
      </c>
    </row>
    <row r="47" spans="1:10" ht="18" customHeight="1">
      <c r="A47" s="908" t="s">
        <v>877</v>
      </c>
      <c r="B47" s="200" t="str">
        <f>B7</f>
        <v>istosm</v>
      </c>
      <c r="C47" s="200" t="str">
        <f aca="true" t="shared" si="22" ref="C47:I47">C7</f>
        <v>suprot</v>
      </c>
      <c r="D47" s="200" t="str">
        <f t="shared" si="22"/>
        <v>unakrsno</v>
      </c>
      <c r="E47" s="200" t="str">
        <f t="shared" si="22"/>
        <v>RT21</v>
      </c>
      <c r="F47" s="200" t="str">
        <f t="shared" si="22"/>
        <v>RT42</v>
      </c>
      <c r="G47" s="200" t="str">
        <f t="shared" si="22"/>
        <v>RT63</v>
      </c>
      <c r="H47" s="200" t="str">
        <f t="shared" si="22"/>
        <v>RT84</v>
      </c>
      <c r="I47" s="200" t="str">
        <f t="shared" si="22"/>
        <v>RT62</v>
      </c>
      <c r="J47" s="200" t="str">
        <f>J7</f>
        <v>jedn.(3.93)</v>
      </c>
    </row>
    <row r="48" spans="1:10" ht="18" customHeight="1">
      <c r="A48" s="183"/>
      <c r="B48" s="201"/>
      <c r="C48" s="201"/>
      <c r="D48" s="201"/>
      <c r="E48" s="201"/>
      <c r="F48" s="201"/>
      <c r="G48" s="201"/>
      <c r="H48" s="201"/>
      <c r="I48" s="201"/>
      <c r="J48" s="163"/>
    </row>
    <row r="49" spans="1:10" ht="18" customHeight="1">
      <c r="A49" s="931"/>
      <c r="B49" s="980" t="s">
        <v>887</v>
      </c>
      <c r="C49" s="931"/>
      <c r="D49" s="931"/>
      <c r="E49" s="931"/>
      <c r="F49" s="931"/>
      <c r="G49" s="931"/>
      <c r="H49" s="931"/>
      <c r="I49" s="931"/>
      <c r="J49" s="942"/>
    </row>
    <row r="50" spans="1:10" ht="18" customHeight="1">
      <c r="A50" s="981">
        <v>1</v>
      </c>
      <c r="B50" s="982" t="s">
        <v>60</v>
      </c>
      <c r="C50" s="982"/>
      <c r="D50" s="982"/>
      <c r="E50" s="942"/>
      <c r="F50" s="981">
        <v>2</v>
      </c>
      <c r="G50" s="982" t="s">
        <v>61</v>
      </c>
      <c r="H50" s="931"/>
      <c r="I50" s="931"/>
      <c r="J50" s="942"/>
    </row>
    <row r="51" spans="1:10" ht="18" customHeight="1">
      <c r="A51" s="983"/>
      <c r="B51" s="983" t="s">
        <v>882</v>
      </c>
      <c r="C51" s="983"/>
      <c r="D51" s="983"/>
      <c r="E51" s="942"/>
      <c r="F51" s="983"/>
      <c r="G51" s="983" t="s">
        <v>62</v>
      </c>
      <c r="H51" s="984"/>
      <c r="I51" s="984"/>
      <c r="J51" s="942"/>
    </row>
    <row r="52" spans="1:10" ht="18" customHeight="1">
      <c r="A52" s="982"/>
      <c r="B52" s="982" t="s">
        <v>883</v>
      </c>
      <c r="C52" s="982"/>
      <c r="D52" s="982"/>
      <c r="E52" s="942"/>
      <c r="F52" s="982"/>
      <c r="G52" s="982" t="s">
        <v>890</v>
      </c>
      <c r="H52" s="931"/>
      <c r="I52" s="931"/>
      <c r="J52" s="942"/>
    </row>
    <row r="53" spans="1:10" ht="18" customHeight="1">
      <c r="A53" s="982"/>
      <c r="B53" s="982" t="s">
        <v>884</v>
      </c>
      <c r="C53" s="982"/>
      <c r="D53" s="982"/>
      <c r="E53" s="942"/>
      <c r="F53" s="982"/>
      <c r="G53" s="982" t="s">
        <v>885</v>
      </c>
      <c r="H53" s="931"/>
      <c r="I53" s="931"/>
      <c r="J53" s="942"/>
    </row>
    <row r="54" spans="1:10" ht="18" customHeight="1">
      <c r="A54" s="982"/>
      <c r="B54" s="982" t="s">
        <v>888</v>
      </c>
      <c r="C54" s="982"/>
      <c r="D54" s="982"/>
      <c r="E54" s="942"/>
      <c r="F54" s="982"/>
      <c r="G54" s="982" t="s">
        <v>886</v>
      </c>
      <c r="H54" s="931"/>
      <c r="I54" s="931"/>
      <c r="J54" s="942"/>
    </row>
    <row r="55" spans="1:10" ht="18" customHeight="1">
      <c r="A55" s="982"/>
      <c r="B55" s="982" t="s">
        <v>889</v>
      </c>
      <c r="C55" s="982"/>
      <c r="D55" s="982"/>
      <c r="E55" s="942"/>
      <c r="F55" s="982"/>
      <c r="G55" s="982" t="s">
        <v>63</v>
      </c>
      <c r="H55" s="931"/>
      <c r="I55" s="931"/>
      <c r="J55" s="942"/>
    </row>
    <row r="56" spans="1:9" ht="18" customHeight="1">
      <c r="A56" s="10"/>
      <c r="B56" s="10"/>
      <c r="C56" s="10"/>
      <c r="D56" s="10"/>
      <c r="E56" s="10"/>
      <c r="F56" s="10"/>
      <c r="G56" s="10"/>
      <c r="H56" s="10"/>
      <c r="I56" s="10"/>
    </row>
    <row r="57" spans="1:9" ht="18" customHeight="1">
      <c r="A57" s="10"/>
      <c r="B57" s="10"/>
      <c r="C57" s="10"/>
      <c r="D57" s="10"/>
      <c r="E57" s="10"/>
      <c r="F57" s="10"/>
      <c r="G57" s="10"/>
      <c r="H57" s="10"/>
      <c r="I57" s="10"/>
    </row>
    <row r="58" spans="1:9" ht="18" customHeight="1">
      <c r="A58" s="10"/>
      <c r="B58" s="10"/>
      <c r="C58" s="10"/>
      <c r="D58" s="10"/>
      <c r="E58" s="10"/>
      <c r="F58" s="10"/>
      <c r="G58" s="10"/>
      <c r="H58" s="10"/>
      <c r="I58" s="10"/>
    </row>
    <row r="59" ht="18" customHeight="1"/>
    <row r="60" ht="18" customHeight="1"/>
    <row r="61" ht="18" customHeight="1"/>
    <row r="62" ht="18" customHeight="1"/>
    <row r="68" spans="1:8" ht="15">
      <c r="A68" s="2"/>
      <c r="B68" s="2"/>
      <c r="C68" s="4"/>
      <c r="D68" s="2"/>
      <c r="E68" s="2"/>
      <c r="F68" s="2"/>
      <c r="G68" s="2"/>
      <c r="H68" s="2"/>
    </row>
  </sheetData>
  <sheetProtection password="C784" sheet="1" objects="1" scenarios="1"/>
  <dataValidations count="8">
    <dataValidation allowBlank="1" showInputMessage="1" showErrorMessage="1" promptTitle="Parametar" prompt="ao" sqref="J8"/>
    <dataValidation allowBlank="1" showInputMessage="1" showErrorMessage="1" promptTitle="Parametar" prompt="b" sqref="J9"/>
    <dataValidation allowBlank="1" showInputMessage="1" showErrorMessage="1" promptTitle="Parametar" prompt="c" sqref="J10"/>
    <dataValidation allowBlank="1" showInputMessage="1" showErrorMessage="1" promptTitle="Parametar" prompt="d" sqref="J11"/>
    <dataValidation type="list" allowBlank="1" showInputMessage="1" showErrorMessage="1" promptTitle="LINEARNA APROKSIMACIJA" prompt="Dozvoljena linearana aproksimacija&#10;spec. toplote SEKUNDARA ?" errorTitle="IZLAZNA TEMPERATURA" error="Mora biti&#10;PRIMAR ili SEKUNDAR" sqref="F9">
      <formula1>"JESTE, NIJE"</formula1>
    </dataValidation>
    <dataValidation type="list" allowBlank="1" showInputMessage="1" showErrorMessage="1" promptTitle="LINEARNA APROKSIMACIJA" prompt="Dozvoljena linearana aproksimacija&#10;spec. toplote PRIMARA ?" errorTitle="IZLAZNA TEMPERATURA" error="Mora biti&#10;PRIMAR ili SEKUNDAR" sqref="C9">
      <formula1>"JESTE, NIJE"</formula1>
    </dataValidation>
    <dataValidation allowBlank="1" showInputMessage="1" showErrorMessage="1" promptTitle="Ako nema linearne aproksimacije" prompt="Zadata vrednost prema srednjoj temperaturi (ITERACIJE)" sqref="B17:J18"/>
    <dataValidation allowBlank="1" showInputMessage="1" showErrorMessage="1" promptTitle="Specificna toplota" prompt="Automatski uneta aproksimacija ili zadata vrednost" sqref="B23:J24"/>
  </dataValidations>
  <printOptions/>
  <pageMargins left="0.75" right="0.25" top="0.6" bottom="0.2" header="0.5" footer="0.5"/>
  <pageSetup horizontalDpi="300" verticalDpi="300" orientation="portrait" paperSize="9" scale="80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N71"/>
  <sheetViews>
    <sheetView showGridLines="0" zoomScale="90" zoomScaleNormal="90" workbookViewId="0" topLeftCell="A1">
      <selection activeCell="E15" sqref="E15"/>
    </sheetView>
  </sheetViews>
  <sheetFormatPr defaultColWidth="9.140625" defaultRowHeight="12.75"/>
  <cols>
    <col min="1" max="1" width="12.7109375" style="0" customWidth="1"/>
    <col min="2" max="10" width="11.7109375" style="0" customWidth="1"/>
  </cols>
  <sheetData>
    <row r="1" ht="12.75">
      <c r="J1" s="659" t="str">
        <f>GEOMETRIJA!M1</f>
        <v>ver.: v2, jun 2002.</v>
      </c>
    </row>
    <row r="3" ht="12.75">
      <c r="J3" s="193"/>
    </row>
    <row r="4" spans="5:10" ht="12.75">
      <c r="E4" s="195"/>
      <c r="F4" s="195"/>
      <c r="G4" s="196"/>
      <c r="H4" s="196"/>
      <c r="J4" s="193"/>
    </row>
    <row r="5" ht="16.5" customHeight="1"/>
    <row r="6" spans="1:10" ht="16.5" customHeight="1">
      <c r="A6" s="942"/>
      <c r="B6" s="985"/>
      <c r="C6" s="944" t="s">
        <v>876</v>
      </c>
      <c r="D6" s="943"/>
      <c r="E6" s="943"/>
      <c r="F6" s="943"/>
      <c r="G6" s="943"/>
      <c r="H6" s="943"/>
      <c r="I6" s="986"/>
      <c r="J6" s="945" t="s">
        <v>159</v>
      </c>
    </row>
    <row r="7" spans="1:10" ht="16.5" customHeight="1">
      <c r="A7" s="987" t="s">
        <v>877</v>
      </c>
      <c r="B7" s="200" t="s">
        <v>50</v>
      </c>
      <c r="C7" s="200" t="s">
        <v>55</v>
      </c>
      <c r="D7" s="200" t="s">
        <v>52</v>
      </c>
      <c r="E7" s="200" t="s">
        <v>161</v>
      </c>
      <c r="F7" s="200" t="s">
        <v>384</v>
      </c>
      <c r="G7" s="200" t="s">
        <v>385</v>
      </c>
      <c r="H7" s="200" t="s">
        <v>386</v>
      </c>
      <c r="I7" s="200" t="s">
        <v>387</v>
      </c>
      <c r="J7" s="200" t="s">
        <v>160</v>
      </c>
    </row>
    <row r="8" spans="1:10" ht="16.5" customHeight="1" thickBot="1">
      <c r="A8" s="942"/>
      <c r="B8" s="946" t="s">
        <v>878</v>
      </c>
      <c r="C8" s="946"/>
      <c r="D8" s="947" t="s">
        <v>879</v>
      </c>
      <c r="E8" s="988"/>
      <c r="F8" s="946"/>
      <c r="G8" s="946"/>
      <c r="H8" s="946"/>
      <c r="I8" s="697" t="s">
        <v>390</v>
      </c>
      <c r="J8" s="43">
        <v>0.274</v>
      </c>
    </row>
    <row r="9" spans="1:10" ht="16.5" customHeight="1">
      <c r="A9" s="989" t="s">
        <v>272</v>
      </c>
      <c r="B9" s="163"/>
      <c r="C9" s="191" t="s">
        <v>270</v>
      </c>
      <c r="D9" s="699" t="s">
        <v>479</v>
      </c>
      <c r="E9" s="699" t="s">
        <v>480</v>
      </c>
      <c r="F9" s="191" t="s">
        <v>270</v>
      </c>
      <c r="G9" s="699" t="s">
        <v>481</v>
      </c>
      <c r="H9" s="700" t="s">
        <v>482</v>
      </c>
      <c r="I9" s="697" t="s">
        <v>274</v>
      </c>
      <c r="J9" s="43">
        <v>2.08</v>
      </c>
    </row>
    <row r="10" spans="1:10" ht="16.5" customHeight="1">
      <c r="A10" s="990" t="s">
        <v>271</v>
      </c>
      <c r="B10" s="163"/>
      <c r="C10" s="991" t="s">
        <v>65</v>
      </c>
      <c r="D10" s="11">
        <v>120</v>
      </c>
      <c r="E10" s="192">
        <v>110</v>
      </c>
      <c r="F10" s="991" t="s">
        <v>269</v>
      </c>
      <c r="G10" s="11">
        <v>80</v>
      </c>
      <c r="H10" s="192">
        <v>70</v>
      </c>
      <c r="I10" s="697" t="s">
        <v>275</v>
      </c>
      <c r="J10" s="43">
        <v>0.624</v>
      </c>
    </row>
    <row r="11" spans="1:10" ht="16.5" customHeight="1" thickBot="1">
      <c r="A11" s="41" t="s">
        <v>65</v>
      </c>
      <c r="B11" s="163"/>
      <c r="C11" s="696" t="s">
        <v>388</v>
      </c>
      <c r="D11" s="189">
        <v>4.232</v>
      </c>
      <c r="E11" s="190">
        <v>4.224</v>
      </c>
      <c r="F11" s="696" t="s">
        <v>389</v>
      </c>
      <c r="G11" s="189">
        <v>2</v>
      </c>
      <c r="H11" s="190">
        <v>1.964</v>
      </c>
      <c r="I11" s="698" t="s">
        <v>276</v>
      </c>
      <c r="J11" s="43">
        <v>0.508</v>
      </c>
    </row>
    <row r="12" spans="1:10" ht="16.5" customHeight="1">
      <c r="A12" s="745" t="s">
        <v>391</v>
      </c>
      <c r="B12" s="163"/>
      <c r="C12" s="163"/>
      <c r="D12" s="163"/>
      <c r="E12" s="186">
        <v>1</v>
      </c>
      <c r="F12" s="186">
        <v>2</v>
      </c>
      <c r="G12" s="186">
        <v>3</v>
      </c>
      <c r="H12" s="186">
        <v>4</v>
      </c>
      <c r="I12" s="172">
        <v>2</v>
      </c>
      <c r="J12" s="163"/>
    </row>
    <row r="13" spans="1:10" ht="16.5" customHeight="1">
      <c r="A13" s="746" t="s">
        <v>392</v>
      </c>
      <c r="B13" s="992">
        <v>130</v>
      </c>
      <c r="C13" s="952">
        <f>$B13</f>
        <v>130</v>
      </c>
      <c r="D13" s="952">
        <f aca="true" t="shared" si="0" ref="D13:J17">$B13</f>
        <v>130</v>
      </c>
      <c r="E13" s="952">
        <f t="shared" si="0"/>
        <v>130</v>
      </c>
      <c r="F13" s="952">
        <f t="shared" si="0"/>
        <v>130</v>
      </c>
      <c r="G13" s="952">
        <f t="shared" si="0"/>
        <v>130</v>
      </c>
      <c r="H13" s="952">
        <f t="shared" si="0"/>
        <v>130</v>
      </c>
      <c r="I13" s="952">
        <f t="shared" si="0"/>
        <v>130</v>
      </c>
      <c r="J13" s="953">
        <f t="shared" si="0"/>
        <v>130</v>
      </c>
    </row>
    <row r="14" spans="1:10" ht="16.5" customHeight="1">
      <c r="A14" s="747" t="s">
        <v>393</v>
      </c>
      <c r="B14" s="993">
        <v>40</v>
      </c>
      <c r="C14" s="955">
        <f>$B14</f>
        <v>40</v>
      </c>
      <c r="D14" s="955">
        <f t="shared" si="0"/>
        <v>40</v>
      </c>
      <c r="E14" s="955">
        <f t="shared" si="0"/>
        <v>40</v>
      </c>
      <c r="F14" s="955">
        <f t="shared" si="0"/>
        <v>40</v>
      </c>
      <c r="G14" s="955">
        <f t="shared" si="0"/>
        <v>40</v>
      </c>
      <c r="H14" s="955">
        <f t="shared" si="0"/>
        <v>40</v>
      </c>
      <c r="I14" s="955">
        <f t="shared" si="0"/>
        <v>40</v>
      </c>
      <c r="J14" s="956">
        <f t="shared" si="0"/>
        <v>40</v>
      </c>
    </row>
    <row r="15" spans="1:10" ht="16.5" customHeight="1">
      <c r="A15" s="747" t="s">
        <v>408</v>
      </c>
      <c r="B15" s="993">
        <v>100</v>
      </c>
      <c r="C15" s="955">
        <f>$B15</f>
        <v>100</v>
      </c>
      <c r="D15" s="955">
        <f t="shared" si="0"/>
        <v>100</v>
      </c>
      <c r="E15" s="955">
        <f t="shared" si="0"/>
        <v>100</v>
      </c>
      <c r="F15" s="955">
        <f t="shared" si="0"/>
        <v>100</v>
      </c>
      <c r="G15" s="955">
        <f t="shared" si="0"/>
        <v>100</v>
      </c>
      <c r="H15" s="955">
        <f t="shared" si="0"/>
        <v>100</v>
      </c>
      <c r="I15" s="955">
        <f t="shared" si="0"/>
        <v>100</v>
      </c>
      <c r="J15" s="956">
        <f t="shared" si="0"/>
        <v>100</v>
      </c>
    </row>
    <row r="16" spans="1:10" ht="16.5" customHeight="1">
      <c r="A16" s="747" t="s">
        <v>394</v>
      </c>
      <c r="B16" s="993">
        <v>1</v>
      </c>
      <c r="C16" s="955">
        <f>$B16</f>
        <v>1</v>
      </c>
      <c r="D16" s="955">
        <f t="shared" si="0"/>
        <v>1</v>
      </c>
      <c r="E16" s="955">
        <f t="shared" si="0"/>
        <v>1</v>
      </c>
      <c r="F16" s="955">
        <f t="shared" si="0"/>
        <v>1</v>
      </c>
      <c r="G16" s="955">
        <f t="shared" si="0"/>
        <v>1</v>
      </c>
      <c r="H16" s="955">
        <f t="shared" si="0"/>
        <v>1</v>
      </c>
      <c r="I16" s="955">
        <f t="shared" si="0"/>
        <v>1</v>
      </c>
      <c r="J16" s="956">
        <f t="shared" si="0"/>
        <v>1</v>
      </c>
    </row>
    <row r="17" spans="1:10" ht="16.5" customHeight="1">
      <c r="A17" s="735" t="s">
        <v>395</v>
      </c>
      <c r="B17" s="994">
        <v>1</v>
      </c>
      <c r="C17" s="958">
        <f>$B17</f>
        <v>1</v>
      </c>
      <c r="D17" s="958">
        <f t="shared" si="0"/>
        <v>1</v>
      </c>
      <c r="E17" s="958">
        <f t="shared" si="0"/>
        <v>1</v>
      </c>
      <c r="F17" s="958">
        <f t="shared" si="0"/>
        <v>1</v>
      </c>
      <c r="G17" s="958">
        <f t="shared" si="0"/>
        <v>1</v>
      </c>
      <c r="H17" s="958">
        <f t="shared" si="0"/>
        <v>1</v>
      </c>
      <c r="I17" s="958">
        <f t="shared" si="0"/>
        <v>1</v>
      </c>
      <c r="J17" s="959">
        <f t="shared" si="0"/>
        <v>1</v>
      </c>
    </row>
    <row r="18" spans="1:10" ht="16.5" customHeight="1">
      <c r="A18" s="702" t="s">
        <v>396</v>
      </c>
      <c r="B18" s="961">
        <v>4.5</v>
      </c>
      <c r="C18" s="961">
        <v>4.5</v>
      </c>
      <c r="D18" s="961">
        <v>4.2</v>
      </c>
      <c r="E18" s="961">
        <v>4.3</v>
      </c>
      <c r="F18" s="961">
        <v>4.5</v>
      </c>
      <c r="G18" s="961">
        <v>4.2</v>
      </c>
      <c r="H18" s="961">
        <v>4.5</v>
      </c>
      <c r="I18" s="961">
        <v>4.5</v>
      </c>
      <c r="J18" s="961">
        <v>4.4</v>
      </c>
    </row>
    <row r="19" spans="1:10" ht="16.5" customHeight="1">
      <c r="A19" s="667" t="s">
        <v>397</v>
      </c>
      <c r="B19" s="963">
        <v>2</v>
      </c>
      <c r="C19" s="963">
        <v>2.2</v>
      </c>
      <c r="D19" s="963">
        <v>1.9</v>
      </c>
      <c r="E19" s="963">
        <v>1.8</v>
      </c>
      <c r="F19" s="963">
        <v>2.2</v>
      </c>
      <c r="G19" s="963">
        <v>2.2</v>
      </c>
      <c r="H19" s="963">
        <v>2.3</v>
      </c>
      <c r="I19" s="963">
        <v>2.2</v>
      </c>
      <c r="J19" s="963">
        <v>2.1</v>
      </c>
    </row>
    <row r="20" spans="1:10" ht="16.5" customHeight="1">
      <c r="A20" s="185"/>
      <c r="B20" s="163"/>
      <c r="C20" s="163"/>
      <c r="D20" s="163"/>
      <c r="E20" s="163"/>
      <c r="F20" s="163"/>
      <c r="G20" s="163"/>
      <c r="H20" s="163"/>
      <c r="I20" s="163"/>
      <c r="J20" s="163"/>
    </row>
    <row r="21" spans="1:10" ht="16.5" customHeight="1">
      <c r="A21" s="163"/>
      <c r="B21" s="946" t="s">
        <v>881</v>
      </c>
      <c r="C21" s="169"/>
      <c r="D21" s="169"/>
      <c r="E21" s="163"/>
      <c r="F21" s="163"/>
      <c r="G21" s="163"/>
      <c r="H21" s="163"/>
      <c r="I21" s="163"/>
      <c r="J21" s="163"/>
    </row>
    <row r="22" spans="1:10" ht="16.5" customHeight="1">
      <c r="A22" s="746" t="s">
        <v>483</v>
      </c>
      <c r="B22" s="326">
        <f aca="true" t="shared" si="1" ref="B22:I23">B48</f>
        <v>115</v>
      </c>
      <c r="C22" s="326">
        <f t="shared" si="1"/>
        <v>115</v>
      </c>
      <c r="D22" s="326">
        <f t="shared" si="1"/>
        <v>115</v>
      </c>
      <c r="E22" s="326">
        <f t="shared" si="1"/>
        <v>115</v>
      </c>
      <c r="F22" s="326">
        <f t="shared" si="1"/>
        <v>115</v>
      </c>
      <c r="G22" s="326">
        <f t="shared" si="1"/>
        <v>115</v>
      </c>
      <c r="H22" s="326">
        <f t="shared" si="1"/>
        <v>115</v>
      </c>
      <c r="I22" s="326">
        <f t="shared" si="1"/>
        <v>115</v>
      </c>
      <c r="J22" s="326">
        <f>J48</f>
        <v>115</v>
      </c>
    </row>
    <row r="23" spans="1:10" ht="16.5" customHeight="1">
      <c r="A23" s="735" t="s">
        <v>484</v>
      </c>
      <c r="B23" s="966">
        <f t="shared" si="1"/>
        <v>72.16368076638429</v>
      </c>
      <c r="C23" s="966">
        <f t="shared" si="1"/>
        <v>72.16368076638429</v>
      </c>
      <c r="D23" s="966">
        <f t="shared" si="1"/>
        <v>72.16368076638429</v>
      </c>
      <c r="E23" s="966">
        <f t="shared" si="1"/>
        <v>72.16368076638429</v>
      </c>
      <c r="F23" s="966">
        <f t="shared" si="1"/>
        <v>72.16368076638429</v>
      </c>
      <c r="G23" s="966">
        <f t="shared" si="1"/>
        <v>72.16368076638429</v>
      </c>
      <c r="H23" s="966">
        <f t="shared" si="1"/>
        <v>72.16368076638429</v>
      </c>
      <c r="I23" s="966">
        <f t="shared" si="1"/>
        <v>72.16368076638429</v>
      </c>
      <c r="J23" s="966">
        <f>J49</f>
        <v>72.16368076638429</v>
      </c>
    </row>
    <row r="24" spans="1:12" ht="16.5" customHeight="1">
      <c r="A24" s="747" t="s">
        <v>396</v>
      </c>
      <c r="B24" s="953">
        <f>IF($C9="JESTE",($D$11-$E$11)*(B22-$E$10)/($D$10-$E$10)+$E$11,B18)</f>
        <v>4.228</v>
      </c>
      <c r="C24" s="953">
        <f>IF($C9="JESTE",($D$11-$E$11)*(C22-$E$10)/($D$10-$E$10)+$E$11,C18)</f>
        <v>4.228</v>
      </c>
      <c r="D24" s="953">
        <f aca="true" t="shared" si="2" ref="D24:J24">IF($C9="JESTE",($D$11-$E$11)*(D22-$E$10)/($D$10-$E$10)+$E$11,D18)</f>
        <v>4.228</v>
      </c>
      <c r="E24" s="953">
        <f t="shared" si="2"/>
        <v>4.228</v>
      </c>
      <c r="F24" s="953">
        <f t="shared" si="2"/>
        <v>4.228</v>
      </c>
      <c r="G24" s="953">
        <f t="shared" si="2"/>
        <v>4.228</v>
      </c>
      <c r="H24" s="953">
        <f t="shared" si="2"/>
        <v>4.228</v>
      </c>
      <c r="I24" s="953">
        <f t="shared" si="2"/>
        <v>4.228</v>
      </c>
      <c r="J24" s="953">
        <f t="shared" si="2"/>
        <v>4.228</v>
      </c>
      <c r="K24" s="5"/>
      <c r="L24" s="5"/>
    </row>
    <row r="25" spans="1:12" ht="16.5" customHeight="1">
      <c r="A25" s="735" t="s">
        <v>397</v>
      </c>
      <c r="B25" s="959">
        <f aca="true" t="shared" si="3" ref="B25:J25">IF($F9="JESTE",($G$11-$H$11)*(B23-$H$10)/($G$10-$H$10)+$H$11,B19)</f>
        <v>1.9717892507589834</v>
      </c>
      <c r="C25" s="959">
        <f t="shared" si="3"/>
        <v>1.9717892507589834</v>
      </c>
      <c r="D25" s="959">
        <f t="shared" si="3"/>
        <v>1.9717892507589834</v>
      </c>
      <c r="E25" s="959">
        <f t="shared" si="3"/>
        <v>1.9717892507589834</v>
      </c>
      <c r="F25" s="959">
        <f t="shared" si="3"/>
        <v>1.9717892507589834</v>
      </c>
      <c r="G25" s="959">
        <f t="shared" si="3"/>
        <v>1.9717892507589834</v>
      </c>
      <c r="H25" s="959">
        <f t="shared" si="3"/>
        <v>1.9717892507589834</v>
      </c>
      <c r="I25" s="959">
        <f t="shared" si="3"/>
        <v>1.9717892507589834</v>
      </c>
      <c r="J25" s="959">
        <f t="shared" si="3"/>
        <v>1.9717892507589834</v>
      </c>
      <c r="K25" s="5"/>
      <c r="L25" s="5"/>
    </row>
    <row r="26" spans="1:12" ht="16.5" customHeight="1">
      <c r="A26" s="683" t="s">
        <v>602</v>
      </c>
      <c r="B26" s="312">
        <f aca="true" t="shared" si="4" ref="B26:I26">B13-B14</f>
        <v>90</v>
      </c>
      <c r="C26" s="312">
        <f t="shared" si="4"/>
        <v>90</v>
      </c>
      <c r="D26" s="312">
        <f t="shared" si="4"/>
        <v>90</v>
      </c>
      <c r="E26" s="312">
        <f t="shared" si="4"/>
        <v>90</v>
      </c>
      <c r="F26" s="312">
        <f t="shared" si="4"/>
        <v>90</v>
      </c>
      <c r="G26" s="312">
        <f t="shared" si="4"/>
        <v>90</v>
      </c>
      <c r="H26" s="312">
        <f t="shared" si="4"/>
        <v>90</v>
      </c>
      <c r="I26" s="312">
        <f t="shared" si="4"/>
        <v>90</v>
      </c>
      <c r="J26" s="312">
        <f>J13-J14</f>
        <v>90</v>
      </c>
      <c r="K26" s="5"/>
      <c r="L26" s="5"/>
    </row>
    <row r="27" spans="1:14" ht="16.5" customHeight="1">
      <c r="A27" s="746" t="s">
        <v>398</v>
      </c>
      <c r="B27" s="326">
        <f aca="true" t="shared" si="5" ref="B27:I27">B16*B24</f>
        <v>4.228</v>
      </c>
      <c r="C27" s="326">
        <f t="shared" si="5"/>
        <v>4.228</v>
      </c>
      <c r="D27" s="326">
        <f t="shared" si="5"/>
        <v>4.228</v>
      </c>
      <c r="E27" s="326">
        <f t="shared" si="5"/>
        <v>4.228</v>
      </c>
      <c r="F27" s="326">
        <f t="shared" si="5"/>
        <v>4.228</v>
      </c>
      <c r="G27" s="326">
        <f t="shared" si="5"/>
        <v>4.228</v>
      </c>
      <c r="H27" s="326">
        <f t="shared" si="5"/>
        <v>4.228</v>
      </c>
      <c r="I27" s="326">
        <f t="shared" si="5"/>
        <v>4.228</v>
      </c>
      <c r="J27" s="326">
        <f>J16*J24</f>
        <v>4.228</v>
      </c>
      <c r="K27" s="1"/>
      <c r="L27" s="1"/>
      <c r="M27" s="1"/>
      <c r="N27" s="1"/>
    </row>
    <row r="28" spans="1:14" ht="16.5" customHeight="1">
      <c r="A28" s="735" t="s">
        <v>399</v>
      </c>
      <c r="B28" s="967">
        <f aca="true" t="shared" si="6" ref="B28:I28">B17*B25</f>
        <v>1.9717892507589834</v>
      </c>
      <c r="C28" s="967">
        <f t="shared" si="6"/>
        <v>1.9717892507589834</v>
      </c>
      <c r="D28" s="967">
        <f t="shared" si="6"/>
        <v>1.9717892507589834</v>
      </c>
      <c r="E28" s="967">
        <f t="shared" si="6"/>
        <v>1.9717892507589834</v>
      </c>
      <c r="F28" s="967">
        <f t="shared" si="6"/>
        <v>1.9717892507589834</v>
      </c>
      <c r="G28" s="967">
        <f t="shared" si="6"/>
        <v>1.9717892507589834</v>
      </c>
      <c r="H28" s="967">
        <f t="shared" si="6"/>
        <v>1.9717892507589834</v>
      </c>
      <c r="I28" s="967">
        <f t="shared" si="6"/>
        <v>1.9717892507589834</v>
      </c>
      <c r="J28" s="967">
        <f>J17*J25</f>
        <v>1.9717892507589834</v>
      </c>
      <c r="K28" s="6"/>
      <c r="L28" s="1"/>
      <c r="M28" s="1"/>
      <c r="N28" s="1"/>
    </row>
    <row r="29" spans="1:14" ht="16.5" customHeight="1">
      <c r="A29" s="701" t="s">
        <v>53</v>
      </c>
      <c r="B29" s="326">
        <f aca="true" t="shared" si="7" ref="B29:I29">IF(B28&lt;B27,B28/B27,B27/B28)</f>
        <v>0.46636453423817015</v>
      </c>
      <c r="C29" s="326">
        <f t="shared" si="7"/>
        <v>0.46636453423817015</v>
      </c>
      <c r="D29" s="326">
        <f t="shared" si="7"/>
        <v>0.46636453423817015</v>
      </c>
      <c r="E29" s="326">
        <f t="shared" si="7"/>
        <v>0.46636453423817015</v>
      </c>
      <c r="F29" s="326">
        <f t="shared" si="7"/>
        <v>0.46636453423817015</v>
      </c>
      <c r="G29" s="326">
        <f t="shared" si="7"/>
        <v>0.46636453423817015</v>
      </c>
      <c r="H29" s="326">
        <f t="shared" si="7"/>
        <v>0.46636453423817015</v>
      </c>
      <c r="I29" s="326">
        <f t="shared" si="7"/>
        <v>0.46636453423817015</v>
      </c>
      <c r="J29" s="326">
        <f>J27/J28</f>
        <v>2.144245384425619</v>
      </c>
      <c r="K29" s="6"/>
      <c r="L29" s="1"/>
      <c r="M29" s="1"/>
      <c r="N29" s="1"/>
    </row>
    <row r="30" spans="1:14" ht="16.5" customHeight="1">
      <c r="A30" s="176" t="s">
        <v>409</v>
      </c>
      <c r="B30" s="326">
        <f aca="true" t="shared" si="8" ref="B30:J30">IF($A$11="SEKUNDAR",B15-B14,B27*B31/B28)</f>
        <v>64.32736153276858</v>
      </c>
      <c r="C30" s="326">
        <f t="shared" si="8"/>
        <v>64.32736153276858</v>
      </c>
      <c r="D30" s="326">
        <f t="shared" si="8"/>
        <v>64.32736153276858</v>
      </c>
      <c r="E30" s="326">
        <f t="shared" si="8"/>
        <v>64.32736153276858</v>
      </c>
      <c r="F30" s="326">
        <f t="shared" si="8"/>
        <v>64.32736153276858</v>
      </c>
      <c r="G30" s="326">
        <f t="shared" si="8"/>
        <v>64.32736153276858</v>
      </c>
      <c r="H30" s="326">
        <f t="shared" si="8"/>
        <v>64.32736153276858</v>
      </c>
      <c r="I30" s="326">
        <f t="shared" si="8"/>
        <v>64.32736153276858</v>
      </c>
      <c r="J30" s="326">
        <f t="shared" si="8"/>
        <v>64.32736153276858</v>
      </c>
      <c r="M30" s="1"/>
      <c r="N30" s="1"/>
    </row>
    <row r="31" spans="1:14" ht="16.5" customHeight="1">
      <c r="A31" s="178" t="s">
        <v>410</v>
      </c>
      <c r="B31" s="973">
        <f aca="true" t="shared" si="9" ref="B31:J31">IF($A$11="PRIMAR",B13-B15,B28*B30/B27)</f>
        <v>30</v>
      </c>
      <c r="C31" s="973">
        <f t="shared" si="9"/>
        <v>30</v>
      </c>
      <c r="D31" s="973">
        <f t="shared" si="9"/>
        <v>30</v>
      </c>
      <c r="E31" s="973">
        <f t="shared" si="9"/>
        <v>30</v>
      </c>
      <c r="F31" s="973">
        <f t="shared" si="9"/>
        <v>30</v>
      </c>
      <c r="G31" s="973">
        <f t="shared" si="9"/>
        <v>30</v>
      </c>
      <c r="H31" s="973">
        <f t="shared" si="9"/>
        <v>30</v>
      </c>
      <c r="I31" s="973">
        <f t="shared" si="9"/>
        <v>30</v>
      </c>
      <c r="J31" s="973">
        <f t="shared" si="9"/>
        <v>30</v>
      </c>
      <c r="K31" s="3"/>
      <c r="L31" s="1"/>
      <c r="M31" s="1"/>
      <c r="N31" s="1"/>
    </row>
    <row r="32" spans="1:14" ht="16.5" customHeight="1">
      <c r="A32" s="178" t="s">
        <v>411</v>
      </c>
      <c r="B32" s="973">
        <f aca="true" t="shared" si="10" ref="B32:J32">IF(B30&gt;B31,B30,B31)</f>
        <v>64.32736153276858</v>
      </c>
      <c r="C32" s="973">
        <f t="shared" si="10"/>
        <v>64.32736153276858</v>
      </c>
      <c r="D32" s="973">
        <f t="shared" si="10"/>
        <v>64.32736153276858</v>
      </c>
      <c r="E32" s="973">
        <f t="shared" si="10"/>
        <v>64.32736153276858</v>
      </c>
      <c r="F32" s="973">
        <f t="shared" si="10"/>
        <v>64.32736153276858</v>
      </c>
      <c r="G32" s="973">
        <f t="shared" si="10"/>
        <v>64.32736153276858</v>
      </c>
      <c r="H32" s="973">
        <f t="shared" si="10"/>
        <v>64.32736153276858</v>
      </c>
      <c r="I32" s="973">
        <f t="shared" si="10"/>
        <v>64.32736153276858</v>
      </c>
      <c r="J32" s="973">
        <f t="shared" si="10"/>
        <v>64.32736153276858</v>
      </c>
      <c r="K32" s="7"/>
      <c r="L32" s="1"/>
      <c r="M32" s="1"/>
      <c r="N32" s="1"/>
    </row>
    <row r="33" spans="1:14" ht="16.5" customHeight="1">
      <c r="A33" s="702" t="s">
        <v>51</v>
      </c>
      <c r="B33" s="966">
        <f aca="true" t="shared" si="11" ref="B33:I33">B32/B26</f>
        <v>0.7147484614752064</v>
      </c>
      <c r="C33" s="966">
        <f t="shared" si="11"/>
        <v>0.7147484614752064</v>
      </c>
      <c r="D33" s="966">
        <f t="shared" si="11"/>
        <v>0.7147484614752064</v>
      </c>
      <c r="E33" s="973">
        <f t="shared" si="11"/>
        <v>0.7147484614752064</v>
      </c>
      <c r="F33" s="973">
        <f t="shared" si="11"/>
        <v>0.7147484614752064</v>
      </c>
      <c r="G33" s="973">
        <f t="shared" si="11"/>
        <v>0.7147484614752064</v>
      </c>
      <c r="H33" s="973">
        <f t="shared" si="11"/>
        <v>0.7147484614752064</v>
      </c>
      <c r="I33" s="973">
        <f t="shared" si="11"/>
        <v>0.7147484614752064</v>
      </c>
      <c r="J33" s="973">
        <f>J31/J26</f>
        <v>0.3333333333333333</v>
      </c>
      <c r="K33" s="8"/>
      <c r="L33" s="1"/>
      <c r="M33" s="1"/>
      <c r="N33" s="1"/>
    </row>
    <row r="34" spans="1:14" ht="16.5" customHeight="1">
      <c r="A34" s="672" t="s">
        <v>400</v>
      </c>
      <c r="B34" s="995"/>
      <c r="C34" s="950"/>
      <c r="D34" s="950"/>
      <c r="E34" s="966">
        <f>(((1-E29*E33)/(1-E33))^(1/E12)-1)/(((1-E29*E33)/(1-E33))^(1/E12)-E29)</f>
        <v>0.7147484614752064</v>
      </c>
      <c r="F34" s="966">
        <f>(((1-F29*F33)/(1-F33))^(1/F12)-1)/(((1-F29*F33)/(1-F33))^(1/F12)-F29)</f>
        <v>0.4977072046227256</v>
      </c>
      <c r="G34" s="966">
        <f>(((1-G29*G33)/(1-G33))^(1/G12)-1)/(((1-G29*G33)/(1-G33))^(1/G12)-G29)</f>
        <v>0.38000168455309824</v>
      </c>
      <c r="H34" s="966">
        <f>(((1-H29*H33)/(1-H33))^(1/H12)-1)/(((1-H29*H33)/(1-H33))^(1/H12)-H29)</f>
        <v>0.30702751595010264</v>
      </c>
      <c r="I34" s="966">
        <f>(((1-I29*I33)/(1-I33))^(1/I12)-1)/(((1-I29*I33)/(1-I33))^(1/I12)-I29)</f>
        <v>0.4977072046227256</v>
      </c>
      <c r="J34" s="705" t="s">
        <v>56</v>
      </c>
      <c r="K34" s="8"/>
      <c r="L34" s="1"/>
      <c r="M34" s="1"/>
      <c r="N34" s="1"/>
    </row>
    <row r="35" spans="1:14" ht="16.5" customHeight="1">
      <c r="A35" s="667" t="s">
        <v>412</v>
      </c>
      <c r="B35" s="312">
        <f>1/(1+B29)</f>
        <v>0.681958664882424</v>
      </c>
      <c r="C35" s="996"/>
      <c r="D35" s="312">
        <f>1/(1+D29/2)</f>
        <v>0.8109101360467688</v>
      </c>
      <c r="E35" s="966">
        <f>2/(1+E29+(1+E29^2)^0.5)</f>
        <v>0.7782808308807925</v>
      </c>
      <c r="F35" s="966">
        <f>2/(1+F29+(1+F29^2)^0.5)</f>
        <v>0.7782808308807925</v>
      </c>
      <c r="G35" s="966">
        <f>2/(1+G29+(1+G29^2)^0.5)</f>
        <v>0.7782808308807925</v>
      </c>
      <c r="H35" s="966">
        <f>2/(1+H29+(1+H29^2)^0.5)</f>
        <v>0.7782808308807925</v>
      </c>
      <c r="I35" s="966">
        <f>2/(1+I29+(1+I29^2)^(1/3))</f>
        <v>0.7892153126417142</v>
      </c>
      <c r="J35" s="360">
        <f>J39</f>
        <v>0.8112821391123842</v>
      </c>
      <c r="K35" s="8"/>
      <c r="L35" s="1"/>
      <c r="M35" s="1"/>
      <c r="N35" s="1"/>
    </row>
    <row r="36" spans="1:14" ht="16.5" customHeight="1">
      <c r="A36" s="667" t="s">
        <v>54</v>
      </c>
      <c r="B36" s="173" t="str">
        <f>IF(B33&gt;B35,"SOS",LN(1/(1-B33*(1+B29)))/(1+B29))</f>
        <v>SOS</v>
      </c>
      <c r="C36" s="175">
        <f>LN((1-C29*C33)/(1-C33))/(1-C29)</f>
        <v>1.5908215308235145</v>
      </c>
      <c r="D36" s="173">
        <f>IF(D33&gt;D35,"SOS",LN((1-D29*D33/2)/(1-D33*(1+D29/2))))</f>
        <v>1.9498047997628183</v>
      </c>
      <c r="E36" s="173">
        <f>IF(E34&gt;E35,"SOS",E12*LN((2-E34*(1+E29-(1+E29^2)^0.5))/(2-E34*(1+E29+(1+E29^2)^0.5)))/(1+E29^2)^0.5)</f>
        <v>2.144825917558794</v>
      </c>
      <c r="F36" s="173">
        <f>IF(F34&gt;F35,"SOS",F12*LN((2-F34*(1+F29-(1+F29^2)^0.5))/(2-F34*(1+F29+(1+F29^2)^0.5)))/(1+F29^2)^0.5)</f>
        <v>1.6776911800741379</v>
      </c>
      <c r="G36" s="173">
        <f>IF(G34&gt;G35,"SOS",G12*LN((2-G34*(1+G29-(1+G29^2)^0.5))/(2-G34*(1+G29+(1+G29^2)^0.5)))/(1+G29^2)^0.5)</f>
        <v>1.6271798815845904</v>
      </c>
      <c r="H36" s="173">
        <f>IF(H34&gt;H35,"SOS",H12*LN((2-H34*(1+H29-(1+H29^2)^0.5))/(2-H34*(1+H29+(1+H29^2)^0.5)))/(1+H29^2)^0.5)</f>
        <v>1.6108703349704567</v>
      </c>
      <c r="I36" s="173">
        <f>IF(I34&gt;I35,"SOS",I12*LN((2-I34*(1+I29-(1+I29^2)^(1/3)))/(2-I34*(1+I29+(1+I29^2)^(1/3))))/(1+I29^2)^(1/3))</f>
        <v>1.6698218438794463</v>
      </c>
      <c r="J36" s="173">
        <f>LN((1-J29*J33)/(1-J33))/(J35*(1-J29))</f>
        <v>0.9144817893936005</v>
      </c>
      <c r="K36" s="7"/>
      <c r="L36" s="1"/>
      <c r="M36" s="1"/>
      <c r="N36" s="1"/>
    </row>
    <row r="37" spans="1:14" ht="16.5" customHeight="1">
      <c r="A37" s="701" t="s">
        <v>59</v>
      </c>
      <c r="B37" s="177" t="str">
        <f aca="true" t="shared" si="12" ref="B37:I37">IF(B36="SOS","SOS",B36*IF(B27&gt;B28,B28,B27))</f>
        <v>SOS</v>
      </c>
      <c r="C37" s="177">
        <f t="shared" si="12"/>
        <v>3.136764794353757</v>
      </c>
      <c r="D37" s="177">
        <f t="shared" si="12"/>
        <v>3.8446041452505972</v>
      </c>
      <c r="E37" s="177">
        <f t="shared" si="12"/>
        <v>4.2291446889917035</v>
      </c>
      <c r="F37" s="177">
        <f t="shared" si="12"/>
        <v>3.308053434963339</v>
      </c>
      <c r="G37" s="177">
        <f t="shared" si="12"/>
        <v>3.2084557995597707</v>
      </c>
      <c r="H37" s="177">
        <f t="shared" si="12"/>
        <v>3.1762968108612695</v>
      </c>
      <c r="I37" s="177">
        <f t="shared" si="12"/>
        <v>3.2925367624440374</v>
      </c>
      <c r="J37" s="177">
        <f>J36*J27</f>
        <v>3.8664290055561428</v>
      </c>
      <c r="K37" s="9"/>
      <c r="L37" s="1"/>
      <c r="M37" s="1"/>
      <c r="N37" s="1"/>
    </row>
    <row r="38" spans="1:14" ht="16.5" customHeight="1">
      <c r="A38" s="702" t="s">
        <v>49</v>
      </c>
      <c r="B38" s="973">
        <f>IF(B29=1,B26-B30,IF(B30&gt;B31,B30-B31,B31-B30)/LN((B26-IF(B30&gt;B31,B31,B30))/(B26-IF(B30&gt;B31,B30,B31))))</f>
        <v>40.4365670732835</v>
      </c>
      <c r="C38" s="973">
        <f aca="true" t="shared" si="13" ref="C38:I38">IF(C29=1,C26-C30,IF(C30&gt;C31,C30-C31,C31-C30)/LN((C26-IF(C30&gt;C31,C31,C30))/(C26-IF(C30&gt;C31,C30,C31))))</f>
        <v>40.4365670732835</v>
      </c>
      <c r="D38" s="973">
        <f t="shared" si="13"/>
        <v>40.4365670732835</v>
      </c>
      <c r="E38" s="973">
        <f t="shared" si="13"/>
        <v>40.4365670732835</v>
      </c>
      <c r="F38" s="973">
        <f t="shared" si="13"/>
        <v>40.4365670732835</v>
      </c>
      <c r="G38" s="973">
        <f t="shared" si="13"/>
        <v>40.4365670732835</v>
      </c>
      <c r="H38" s="973">
        <f t="shared" si="13"/>
        <v>40.4365670732835</v>
      </c>
      <c r="I38" s="973">
        <f t="shared" si="13"/>
        <v>40.4365670732835</v>
      </c>
      <c r="J38" s="973">
        <f>IF(J29=1,J26-J30,IF(J30&gt;J31,J30-J31,J31-J30)/LN((J26-IF(J30&gt;J31,J31,J30))/(J26-IF(J30&gt;J31,J30,J31))))</f>
        <v>40.4365670732835</v>
      </c>
      <c r="K38" s="1"/>
      <c r="L38" s="1"/>
      <c r="M38" s="1"/>
      <c r="N38" s="1"/>
    </row>
    <row r="39" spans="1:10" ht="16.5" customHeight="1">
      <c r="A39" s="704" t="s">
        <v>56</v>
      </c>
      <c r="B39" s="973" t="str">
        <f aca="true" t="shared" si="14" ref="B39:I39">IF(B36="SOS","SOS",B33*B26/(B36*B38))</f>
        <v>SOS</v>
      </c>
      <c r="C39" s="973">
        <f t="shared" si="14"/>
        <v>1</v>
      </c>
      <c r="D39" s="973">
        <f t="shared" si="14"/>
        <v>0.815887585781422</v>
      </c>
      <c r="E39" s="973">
        <f t="shared" si="14"/>
        <v>0.741701933849327</v>
      </c>
      <c r="F39" s="973">
        <f t="shared" si="14"/>
        <v>0.9482207153006643</v>
      </c>
      <c r="G39" s="973">
        <f t="shared" si="14"/>
        <v>0.9776556045385288</v>
      </c>
      <c r="H39" s="973">
        <f t="shared" si="14"/>
        <v>0.9875540546549888</v>
      </c>
      <c r="I39" s="973">
        <f t="shared" si="14"/>
        <v>0.9526893762077081</v>
      </c>
      <c r="J39" s="973">
        <f>1/(1+J8*J29^(J9*J11)*J36^J9)^J11</f>
        <v>0.8112821391123842</v>
      </c>
    </row>
    <row r="40" spans="1:10" ht="16.5" customHeight="1">
      <c r="A40" s="179" t="s">
        <v>403</v>
      </c>
      <c r="B40" s="966" t="str">
        <f aca="true" t="shared" si="15" ref="B40:J40">IF(B36="SOS","SOS",B38*B39)</f>
        <v>SOS</v>
      </c>
      <c r="C40" s="966">
        <f t="shared" si="15"/>
        <v>40.4365670732835</v>
      </c>
      <c r="D40" s="966">
        <f t="shared" si="15"/>
        <v>32.991693086709816</v>
      </c>
      <c r="E40" s="966">
        <f t="shared" si="15"/>
        <v>29.991879996482393</v>
      </c>
      <c r="F40" s="966">
        <f t="shared" si="15"/>
        <v>38.34279055453217</v>
      </c>
      <c r="G40" s="966">
        <f t="shared" si="15"/>
        <v>39.53303642749375</v>
      </c>
      <c r="H40" s="966">
        <f t="shared" si="15"/>
        <v>39.93329576954953</v>
      </c>
      <c r="I40" s="966">
        <f t="shared" si="15"/>
        <v>38.523487861027604</v>
      </c>
      <c r="J40" s="966">
        <f t="shared" si="15"/>
        <v>32.805464633574836</v>
      </c>
    </row>
    <row r="41" spans="1:10" ht="16.5" customHeight="1">
      <c r="A41" s="701" t="s">
        <v>405</v>
      </c>
      <c r="B41" s="177">
        <f>B27*B31</f>
        <v>126.83999999999999</v>
      </c>
      <c r="C41" s="177">
        <f aca="true" t="shared" si="16" ref="C41:I41">C31*IF(C28&gt;C27,C28,C27)</f>
        <v>126.83999999999999</v>
      </c>
      <c r="D41" s="177">
        <f t="shared" si="16"/>
        <v>126.83999999999999</v>
      </c>
      <c r="E41" s="177">
        <f t="shared" si="16"/>
        <v>126.83999999999999</v>
      </c>
      <c r="F41" s="177">
        <f t="shared" si="16"/>
        <v>126.83999999999999</v>
      </c>
      <c r="G41" s="177">
        <f t="shared" si="16"/>
        <v>126.83999999999999</v>
      </c>
      <c r="H41" s="177">
        <f t="shared" si="16"/>
        <v>126.83999999999999</v>
      </c>
      <c r="I41" s="177">
        <f t="shared" si="16"/>
        <v>126.83999999999999</v>
      </c>
      <c r="J41" s="177">
        <f>J31*IF(J28&gt;J27,J28,J27)</f>
        <v>126.83999999999999</v>
      </c>
    </row>
    <row r="42" spans="1:10" ht="16.5" customHeight="1">
      <c r="A42" s="702" t="s">
        <v>406</v>
      </c>
      <c r="B42" s="975">
        <f>B28*B30</f>
        <v>126.84</v>
      </c>
      <c r="C42" s="975">
        <f aca="true" t="shared" si="17" ref="C42:I42">C30*IF(C28&gt;C27,C27,C28)</f>
        <v>126.84</v>
      </c>
      <c r="D42" s="975">
        <f t="shared" si="17"/>
        <v>126.84</v>
      </c>
      <c r="E42" s="975">
        <f t="shared" si="17"/>
        <v>126.84</v>
      </c>
      <c r="F42" s="975">
        <f t="shared" si="17"/>
        <v>126.84</v>
      </c>
      <c r="G42" s="975">
        <f t="shared" si="17"/>
        <v>126.84</v>
      </c>
      <c r="H42" s="975">
        <f t="shared" si="17"/>
        <v>126.84</v>
      </c>
      <c r="I42" s="975">
        <f t="shared" si="17"/>
        <v>126.84</v>
      </c>
      <c r="J42" s="975">
        <f>J30*IF(J28&gt;J27,J27,J28)</f>
        <v>126.84</v>
      </c>
    </row>
    <row r="43" spans="1:10" ht="16.5" customHeight="1">
      <c r="A43" s="667" t="s">
        <v>407</v>
      </c>
      <c r="B43" s="976" t="str">
        <f aca="true" t="shared" si="18" ref="B43:I43">IF(B36="SOS","SOS",B37*B40)</f>
        <v>SOS</v>
      </c>
      <c r="C43" s="976">
        <f t="shared" si="18"/>
        <v>126.84</v>
      </c>
      <c r="D43" s="976">
        <f t="shared" si="18"/>
        <v>126.84000000000003</v>
      </c>
      <c r="E43" s="976">
        <f t="shared" si="18"/>
        <v>126.84000000000002</v>
      </c>
      <c r="F43" s="976">
        <f t="shared" si="18"/>
        <v>126.84000000000002</v>
      </c>
      <c r="G43" s="976">
        <f t="shared" si="18"/>
        <v>126.83999999999999</v>
      </c>
      <c r="H43" s="976">
        <f t="shared" si="18"/>
        <v>126.84</v>
      </c>
      <c r="I43" s="976">
        <f t="shared" si="18"/>
        <v>126.84</v>
      </c>
      <c r="J43" s="976">
        <f>IF(J36="SOS","SOS",J37*J40)</f>
        <v>126.83999999999996</v>
      </c>
    </row>
    <row r="44" spans="1:10" ht="16.5" customHeight="1">
      <c r="A44" s="163"/>
      <c r="B44" s="163"/>
      <c r="C44" s="163"/>
      <c r="D44" s="163"/>
      <c r="E44" s="163"/>
      <c r="F44" s="163"/>
      <c r="G44" s="163"/>
      <c r="H44" s="163"/>
      <c r="I44" s="163"/>
      <c r="J44" s="163"/>
    </row>
    <row r="45" spans="1:10" ht="16.5" customHeight="1">
      <c r="A45" s="163"/>
      <c r="B45" s="946" t="s">
        <v>48</v>
      </c>
      <c r="C45" s="169"/>
      <c r="D45" s="169"/>
      <c r="E45" s="163"/>
      <c r="F45" s="163"/>
      <c r="G45" s="163"/>
      <c r="H45" s="163"/>
      <c r="I45" s="163"/>
      <c r="J45" s="163"/>
    </row>
    <row r="46" spans="1:10" ht="16.5" customHeight="1">
      <c r="A46" s="746" t="s">
        <v>413</v>
      </c>
      <c r="B46" s="997">
        <f>B13-B31</f>
        <v>100</v>
      </c>
      <c r="C46" s="997">
        <f aca="true" t="shared" si="19" ref="C46:I46">C13-C31</f>
        <v>100</v>
      </c>
      <c r="D46" s="997">
        <f t="shared" si="19"/>
        <v>100</v>
      </c>
      <c r="E46" s="997">
        <f t="shared" si="19"/>
        <v>100</v>
      </c>
      <c r="F46" s="997">
        <f t="shared" si="19"/>
        <v>100</v>
      </c>
      <c r="G46" s="997">
        <f t="shared" si="19"/>
        <v>100</v>
      </c>
      <c r="H46" s="997">
        <f t="shared" si="19"/>
        <v>100</v>
      </c>
      <c r="I46" s="997">
        <f t="shared" si="19"/>
        <v>100</v>
      </c>
      <c r="J46" s="997">
        <f>J13-J31</f>
        <v>100</v>
      </c>
    </row>
    <row r="47" spans="1:10" ht="16.5" customHeight="1">
      <c r="A47" s="747" t="s">
        <v>414</v>
      </c>
      <c r="B47" s="997">
        <f>B14+B30</f>
        <v>104.32736153276858</v>
      </c>
      <c r="C47" s="997">
        <f aca="true" t="shared" si="20" ref="C47:I47">C14+C30</f>
        <v>104.32736153276858</v>
      </c>
      <c r="D47" s="997">
        <f t="shared" si="20"/>
        <v>104.32736153276858</v>
      </c>
      <c r="E47" s="997">
        <f t="shared" si="20"/>
        <v>104.32736153276858</v>
      </c>
      <c r="F47" s="997">
        <f t="shared" si="20"/>
        <v>104.32736153276858</v>
      </c>
      <c r="G47" s="997">
        <f t="shared" si="20"/>
        <v>104.32736153276858</v>
      </c>
      <c r="H47" s="997">
        <f t="shared" si="20"/>
        <v>104.32736153276858</v>
      </c>
      <c r="I47" s="997">
        <f t="shared" si="20"/>
        <v>104.32736153276858</v>
      </c>
      <c r="J47" s="997">
        <f>J14+J30</f>
        <v>104.32736153276858</v>
      </c>
    </row>
    <row r="48" spans="1:10" ht="16.5" customHeight="1">
      <c r="A48" s="746" t="s">
        <v>483</v>
      </c>
      <c r="B48" s="978">
        <f aca="true" t="shared" si="21" ref="B48:J48">(B13+B46)/2</f>
        <v>115</v>
      </c>
      <c r="C48" s="978">
        <f t="shared" si="21"/>
        <v>115</v>
      </c>
      <c r="D48" s="978">
        <f t="shared" si="21"/>
        <v>115</v>
      </c>
      <c r="E48" s="978">
        <f t="shared" si="21"/>
        <v>115</v>
      </c>
      <c r="F48" s="978">
        <f t="shared" si="21"/>
        <v>115</v>
      </c>
      <c r="G48" s="978">
        <f t="shared" si="21"/>
        <v>115</v>
      </c>
      <c r="H48" s="978">
        <f t="shared" si="21"/>
        <v>115</v>
      </c>
      <c r="I48" s="978">
        <f t="shared" si="21"/>
        <v>115</v>
      </c>
      <c r="J48" s="978">
        <f t="shared" si="21"/>
        <v>115</v>
      </c>
    </row>
    <row r="49" spans="1:10" ht="16.5" customHeight="1">
      <c r="A49" s="735" t="s">
        <v>484</v>
      </c>
      <c r="B49" s="979">
        <f aca="true" t="shared" si="22" ref="B49:J49">(B14+B47)/2</f>
        <v>72.16368076638429</v>
      </c>
      <c r="C49" s="979">
        <f t="shared" si="22"/>
        <v>72.16368076638429</v>
      </c>
      <c r="D49" s="979">
        <f t="shared" si="22"/>
        <v>72.16368076638429</v>
      </c>
      <c r="E49" s="979">
        <f t="shared" si="22"/>
        <v>72.16368076638429</v>
      </c>
      <c r="F49" s="979">
        <f t="shared" si="22"/>
        <v>72.16368076638429</v>
      </c>
      <c r="G49" s="979">
        <f t="shared" si="22"/>
        <v>72.16368076638429</v>
      </c>
      <c r="H49" s="979">
        <f t="shared" si="22"/>
        <v>72.16368076638429</v>
      </c>
      <c r="I49" s="979">
        <f t="shared" si="22"/>
        <v>72.16368076638429</v>
      </c>
      <c r="J49" s="979">
        <f t="shared" si="22"/>
        <v>72.16368076638429</v>
      </c>
    </row>
    <row r="50" spans="1:10" ht="16.5" customHeight="1">
      <c r="A50" s="908" t="s">
        <v>877</v>
      </c>
      <c r="B50" s="168" t="s">
        <v>50</v>
      </c>
      <c r="C50" s="168" t="s">
        <v>55</v>
      </c>
      <c r="D50" s="200" t="s">
        <v>52</v>
      </c>
      <c r="E50" s="168" t="str">
        <f>E7</f>
        <v>RT21</v>
      </c>
      <c r="F50" s="168" t="str">
        <f>F7</f>
        <v>RT42</v>
      </c>
      <c r="G50" s="168" t="str">
        <f>G7</f>
        <v>RT63</v>
      </c>
      <c r="H50" s="168" t="str">
        <f>H7</f>
        <v>RT84</v>
      </c>
      <c r="I50" s="168" t="str">
        <f>I7</f>
        <v>RT62</v>
      </c>
      <c r="J50" s="168" t="s">
        <v>385</v>
      </c>
    </row>
    <row r="51" spans="1:10" ht="16.5" customHeight="1">
      <c r="A51" s="180"/>
      <c r="B51" s="181"/>
      <c r="C51" s="181"/>
      <c r="D51" s="181"/>
      <c r="J51" s="163"/>
    </row>
    <row r="52" spans="1:10" ht="16.5" customHeight="1">
      <c r="A52" s="931"/>
      <c r="B52" s="980" t="s">
        <v>895</v>
      </c>
      <c r="C52" s="931"/>
      <c r="D52" s="931"/>
      <c r="E52" s="931"/>
      <c r="F52" s="931"/>
      <c r="G52" s="931"/>
      <c r="H52" s="931"/>
      <c r="I52" s="942"/>
      <c r="J52" s="942"/>
    </row>
    <row r="53" spans="1:10" ht="16.5" customHeight="1">
      <c r="A53" s="981">
        <v>1</v>
      </c>
      <c r="B53" s="982" t="s">
        <v>60</v>
      </c>
      <c r="C53" s="982"/>
      <c r="D53" s="982"/>
      <c r="E53" s="942"/>
      <c r="F53" s="981">
        <v>2</v>
      </c>
      <c r="G53" s="982" t="s">
        <v>61</v>
      </c>
      <c r="H53" s="931"/>
      <c r="I53" s="942"/>
      <c r="J53" s="942"/>
    </row>
    <row r="54" spans="1:10" ht="16.5" customHeight="1">
      <c r="A54" s="983"/>
      <c r="B54" s="982" t="s">
        <v>891</v>
      </c>
      <c r="C54" s="983"/>
      <c r="D54" s="983"/>
      <c r="E54" s="942"/>
      <c r="F54" s="983"/>
      <c r="G54" s="983" t="s">
        <v>62</v>
      </c>
      <c r="H54" s="984"/>
      <c r="I54" s="998"/>
      <c r="J54" s="942"/>
    </row>
    <row r="55" spans="1:10" ht="16.5" customHeight="1">
      <c r="A55" s="982"/>
      <c r="B55" s="982" t="s">
        <v>892</v>
      </c>
      <c r="C55" s="982"/>
      <c r="D55" s="982"/>
      <c r="E55" s="942"/>
      <c r="F55" s="982"/>
      <c r="G55" s="982" t="s">
        <v>890</v>
      </c>
      <c r="H55" s="931"/>
      <c r="I55" s="942"/>
      <c r="J55" s="942"/>
    </row>
    <row r="56" spans="1:10" ht="16.5" customHeight="1">
      <c r="A56" s="982"/>
      <c r="B56" s="982" t="s">
        <v>893</v>
      </c>
      <c r="C56" s="982"/>
      <c r="D56" s="982"/>
      <c r="E56" s="942"/>
      <c r="F56" s="982"/>
      <c r="G56" s="982" t="s">
        <v>894</v>
      </c>
      <c r="H56" s="931"/>
      <c r="I56" s="942"/>
      <c r="J56" s="942"/>
    </row>
    <row r="57" spans="1:10" ht="16.5" customHeight="1">
      <c r="A57" s="982"/>
      <c r="B57" s="982" t="s">
        <v>896</v>
      </c>
      <c r="C57" s="982"/>
      <c r="D57" s="982"/>
      <c r="E57" s="942"/>
      <c r="F57" s="982"/>
      <c r="G57" s="982" t="s">
        <v>63</v>
      </c>
      <c r="H57" s="931"/>
      <c r="I57" s="942"/>
      <c r="J57" s="942"/>
    </row>
    <row r="58" spans="1:10" ht="16.5" customHeight="1">
      <c r="A58" s="982"/>
      <c r="B58" s="982" t="s">
        <v>273</v>
      </c>
      <c r="C58" s="982"/>
      <c r="D58" s="982"/>
      <c r="E58" s="942"/>
      <c r="F58" s="982"/>
      <c r="G58" s="942"/>
      <c r="H58" s="931"/>
      <c r="I58" s="942"/>
      <c r="J58" s="942"/>
    </row>
    <row r="59" ht="16.5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71" spans="1:8" ht="15">
      <c r="A71" s="2"/>
      <c r="B71" s="2"/>
      <c r="C71" s="4"/>
      <c r="D71" s="2"/>
      <c r="E71" s="2"/>
      <c r="F71" s="2"/>
      <c r="G71" s="2"/>
      <c r="H71" s="2"/>
    </row>
  </sheetData>
  <sheetProtection password="C784" sheet="1" objects="1" scenarios="1"/>
  <dataValidations count="14">
    <dataValidation type="list" allowBlank="1" showInputMessage="1" showErrorMessage="1" errorTitle="IZLAZNA TEMPERATURA" error="Mora biti&#10;PRIMAR ili SEKUNDAR" sqref="A11">
      <formula1>"PRIMAR, SEKUNDAR"</formula1>
    </dataValidation>
    <dataValidation allowBlank="1" showInputMessage="1" showErrorMessage="1" promptTitle="Parametar" prompt="ao" sqref="J8"/>
    <dataValidation allowBlank="1" showInputMessage="1" showErrorMessage="1" promptTitle="Parametar" prompt="b" sqref="J9"/>
    <dataValidation allowBlank="1" showInputMessage="1" showErrorMessage="1" promptTitle="Parametar" prompt="c" sqref="J10"/>
    <dataValidation allowBlank="1" showInputMessage="1" showErrorMessage="1" promptTitle="Parametar" prompt="d" sqref="J11"/>
    <dataValidation allowBlank="1" showInputMessage="1" showErrorMessage="1" promptTitle="Specificna toplota" prompt="Automatski uneta aproksimacija ili zadata vrednost" sqref="B24:J25"/>
    <dataValidation type="list" allowBlank="1" showInputMessage="1" showErrorMessage="1" promptTitle="LINEARNA APROKSIMACIJA" prompt="Dozvoljena linearana aproksimacija&#10;spec. toplote SEKUNDARA ?" errorTitle="IZLAZNA TEMPERATURA" error="Mora biti&#10;PRIMAR ili SEKUNDAR" sqref="F9">
      <formula1>"JESTE, NIJE"</formula1>
    </dataValidation>
    <dataValidation type="list" allowBlank="1" showInputMessage="1" showErrorMessage="1" promptTitle="LINEARNA APROKSIMACIJA" prompt="Dozvoljena linearana aproksimacija&#10;spec. toplote PRIMARA ?" errorTitle="IZLAZNA TEMPERATURA" error="Mora biti&#10;PRIMAR ili SEKUNDAR" sqref="C9">
      <formula1>"JESTE, NIJE"</formula1>
    </dataValidation>
    <dataValidation allowBlank="1" showInputMessage="1" showErrorMessage="1" promptTitle="Granica linearnosti" prompt="Visa srednja temperatura" sqref="G10 D10"/>
    <dataValidation allowBlank="1" showInputMessage="1" showErrorMessage="1" prompt="Spec. toplota pri visoj temperaturi" sqref="G11 D11"/>
    <dataValidation allowBlank="1" showInputMessage="1" showErrorMessage="1" promptTitle="Granica linearnosti" prompt="Niza srednja temperatura" sqref="H10 E10"/>
    <dataValidation allowBlank="1" showInputMessage="1" showErrorMessage="1" prompt="Spec. toplota pri nizoj temperaturi " sqref="H11 E11"/>
    <dataValidation allowBlank="1" showInputMessage="1" showErrorMessage="1" promptTitle="Ako nema linearne aproksimacije" prompt="Zadata vrednost prema srednjoj temperaturi (ITERACIJE)" sqref="B18:J19"/>
    <dataValidation allowBlank="1" showInputMessage="1" showErrorMessage="1" prompt="Poruka, SOS ili DIJ/0, oznacavaju da velicina nema realnu vrednost" sqref="B36:J37 B39:J40 B43:J43"/>
  </dataValidations>
  <printOptions/>
  <pageMargins left="0.75" right="0.25" top="0.6" bottom="0.2" header="0.5" footer="0.5"/>
  <pageSetup horizontalDpi="300" verticalDpi="300" orientation="portrait" paperSize="9" scale="80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M78"/>
  <sheetViews>
    <sheetView showGridLines="0" workbookViewId="0" topLeftCell="A1">
      <selection activeCell="D20" sqref="D20"/>
    </sheetView>
  </sheetViews>
  <sheetFormatPr defaultColWidth="9.140625" defaultRowHeight="12.75"/>
  <cols>
    <col min="1" max="2" width="12.7109375" style="14" customWidth="1"/>
    <col min="3" max="3" width="13.28125" style="14" customWidth="1"/>
    <col min="4" max="8" width="12.7109375" style="14" customWidth="1"/>
    <col min="9" max="9" width="13.28125" style="14" customWidth="1"/>
    <col min="10" max="10" width="13.421875" style="14" bestFit="1" customWidth="1"/>
    <col min="11" max="16384" width="9.140625" style="14" customWidth="1"/>
  </cols>
  <sheetData>
    <row r="1" ht="12.75" customHeight="1">
      <c r="I1" s="659" t="str">
        <f>GEOMETRIJA!M1</f>
        <v>ver.: v2, jun 2002.</v>
      </c>
    </row>
    <row r="2" ht="12.75" customHeight="1"/>
    <row r="3" ht="12.75" customHeight="1"/>
    <row r="4" ht="12.75" customHeight="1"/>
    <row r="5" spans="5:6" ht="12.75" customHeight="1">
      <c r="E5" s="61"/>
      <c r="F5" s="54"/>
    </row>
    <row r="6" spans="4:9" ht="15.75" customHeight="1">
      <c r="D6" s="62"/>
      <c r="E6" s="56"/>
      <c r="F6" s="55"/>
      <c r="G6" s="55"/>
      <c r="H6" s="57"/>
      <c r="I6" s="24"/>
    </row>
    <row r="7" spans="1:9" ht="15.75" customHeight="1">
      <c r="A7" s="271"/>
      <c r="B7" s="1049" t="s">
        <v>878</v>
      </c>
      <c r="C7" s="1008"/>
      <c r="D7" s="242"/>
      <c r="E7" s="276"/>
      <c r="F7" s="276"/>
      <c r="G7" s="276"/>
      <c r="H7" s="242"/>
      <c r="I7" s="242"/>
    </row>
    <row r="8" spans="1:9" ht="15.75" customHeight="1">
      <c r="A8" s="701" t="s">
        <v>486</v>
      </c>
      <c r="B8" s="701" t="s">
        <v>487</v>
      </c>
      <c r="C8" s="701" t="s">
        <v>488</v>
      </c>
      <c r="D8" s="701" t="s">
        <v>604</v>
      </c>
      <c r="E8" s="749" t="s">
        <v>489</v>
      </c>
      <c r="F8" s="701" t="s">
        <v>490</v>
      </c>
      <c r="G8" s="701" t="s">
        <v>491</v>
      </c>
      <c r="H8" s="701" t="s">
        <v>492</v>
      </c>
      <c r="I8" s="242"/>
    </row>
    <row r="9" spans="1:13" ht="15.75" customHeight="1">
      <c r="A9" s="63">
        <v>4.5</v>
      </c>
      <c r="B9" s="60">
        <v>500</v>
      </c>
      <c r="C9" s="32">
        <f>(3485+3484)/2</f>
        <v>3484.5</v>
      </c>
      <c r="D9" s="32">
        <v>1</v>
      </c>
      <c r="E9" s="64">
        <v>147.92</v>
      </c>
      <c r="F9" s="32">
        <v>2741.8</v>
      </c>
      <c r="G9" s="58">
        <v>622.96</v>
      </c>
      <c r="H9" s="414">
        <f>F9-G9</f>
        <v>2118.84</v>
      </c>
      <c r="I9" s="242"/>
      <c r="M9" s="44"/>
    </row>
    <row r="10" spans="1:11" ht="15.75" customHeight="1">
      <c r="A10" s="748" t="s">
        <v>394</v>
      </c>
      <c r="B10" s="748" t="s">
        <v>395</v>
      </c>
      <c r="C10" s="701" t="s">
        <v>493</v>
      </c>
      <c r="D10" s="748" t="s">
        <v>494</v>
      </c>
      <c r="E10" s="748" t="s">
        <v>495</v>
      </c>
      <c r="F10" s="242"/>
      <c r="G10" s="415" t="s">
        <v>496</v>
      </c>
      <c r="H10" s="748" t="s">
        <v>286</v>
      </c>
      <c r="I10" s="242"/>
      <c r="K10" s="72"/>
    </row>
    <row r="11" spans="1:13" ht="15.75" customHeight="1">
      <c r="A11" s="60">
        <v>1</v>
      </c>
      <c r="B11" s="60">
        <v>11</v>
      </c>
      <c r="C11" s="60">
        <v>20</v>
      </c>
      <c r="D11" s="32">
        <v>0.018</v>
      </c>
      <c r="E11" s="32">
        <v>0.016</v>
      </c>
      <c r="F11" s="242"/>
      <c r="G11" s="32">
        <v>0.5</v>
      </c>
      <c r="H11" s="32">
        <v>0.25</v>
      </c>
      <c r="I11" s="242"/>
      <c r="M11" s="50"/>
    </row>
    <row r="12" spans="1:13" ht="15.75" customHeight="1" thickBot="1">
      <c r="A12" s="272"/>
      <c r="B12" s="416" t="s">
        <v>164</v>
      </c>
      <c r="C12" s="253"/>
      <c r="D12" s="272"/>
      <c r="E12" s="272"/>
      <c r="F12" s="272"/>
      <c r="G12" s="416" t="s">
        <v>165</v>
      </c>
      <c r="H12" s="253"/>
      <c r="I12" s="272"/>
      <c r="M12" s="56"/>
    </row>
    <row r="13" spans="1:10" ht="15.75" customHeight="1">
      <c r="A13" s="999"/>
      <c r="B13" s="1000" t="s">
        <v>897</v>
      </c>
      <c r="C13" s="1000"/>
      <c r="D13" s="1000"/>
      <c r="E13" s="1001"/>
      <c r="F13" s="417"/>
      <c r="G13" s="1000" t="s">
        <v>897</v>
      </c>
      <c r="H13" s="1000"/>
      <c r="I13" s="1002"/>
      <c r="J13" s="46"/>
    </row>
    <row r="14" spans="1:11" ht="15.75" customHeight="1">
      <c r="A14" s="1003" t="s">
        <v>898</v>
      </c>
      <c r="B14" s="1004" t="s">
        <v>899</v>
      </c>
      <c r="C14" s="418" t="s">
        <v>156</v>
      </c>
      <c r="D14" s="418" t="s">
        <v>169</v>
      </c>
      <c r="E14" s="420" t="s">
        <v>167</v>
      </c>
      <c r="F14" s="419" t="s">
        <v>58</v>
      </c>
      <c r="G14" s="750" t="str">
        <f>IF(F15="PRIMAR","t'p","t's")</f>
        <v>t''p</v>
      </c>
      <c r="H14" s="418" t="s">
        <v>156</v>
      </c>
      <c r="I14" s="753" t="s">
        <v>500</v>
      </c>
      <c r="J14" s="46"/>
      <c r="K14" s="44"/>
    </row>
    <row r="15" spans="1:9" ht="15.75" customHeight="1">
      <c r="A15" s="777">
        <f>B9-E35-D35-IF(B32&gt;B31,B36,B36*B33)</f>
        <v>38.35179783420183</v>
      </c>
      <c r="B15" s="63">
        <f>A15</f>
        <v>38.35179783420183</v>
      </c>
      <c r="C15" s="32" t="s">
        <v>155</v>
      </c>
      <c r="D15" s="421">
        <f>IF(B15&gt;E9,"tp'' &gt;tk","")</f>
      </c>
      <c r="E15" s="422">
        <f>A11*(C9-G9)+B31*(E9-B50)</f>
        <v>3324.7176610154784</v>
      </c>
      <c r="F15" s="65" t="s">
        <v>65</v>
      </c>
      <c r="G15" s="60">
        <v>38.352</v>
      </c>
      <c r="H15" s="32" t="s">
        <v>155</v>
      </c>
      <c r="I15" s="422">
        <f>A11*(C9-G9)+I31*(E9-I50)</f>
        <v>3324.7168063999998</v>
      </c>
    </row>
    <row r="16" spans="1:13" ht="18" customHeight="1">
      <c r="A16" s="774" t="s">
        <v>497</v>
      </c>
      <c r="B16" s="701" t="s">
        <v>498</v>
      </c>
      <c r="C16" s="752" t="s">
        <v>499</v>
      </c>
      <c r="D16" s="751" t="s">
        <v>158</v>
      </c>
      <c r="E16" s="778"/>
      <c r="F16" s="774" t="s">
        <v>497</v>
      </c>
      <c r="G16" s="701" t="s">
        <v>498</v>
      </c>
      <c r="H16" s="751" t="s">
        <v>158</v>
      </c>
      <c r="I16" s="423"/>
      <c r="K16" s="44"/>
      <c r="L16" s="44"/>
      <c r="M16" s="44"/>
    </row>
    <row r="17" spans="1:13" ht="15.75" customHeight="1" thickBot="1">
      <c r="A17" s="426">
        <f>E50</f>
        <v>235.4482065277818</v>
      </c>
      <c r="B17" s="59">
        <v>2932</v>
      </c>
      <c r="C17" s="45">
        <v>37</v>
      </c>
      <c r="D17" s="424">
        <f>(B17-F9)/H9</f>
        <v>0.089766098431217</v>
      </c>
      <c r="E17" s="779"/>
      <c r="F17" s="426">
        <f>G50</f>
        <v>235.433005961318</v>
      </c>
      <c r="G17" s="59">
        <v>2932</v>
      </c>
      <c r="H17" s="424">
        <f>(G17-F9)/H9</f>
        <v>0.089766098431217</v>
      </c>
      <c r="I17" s="423"/>
      <c r="K17" s="44"/>
      <c r="L17" s="44"/>
      <c r="M17" s="44"/>
    </row>
    <row r="18" spans="1:13" ht="15.75" customHeight="1">
      <c r="A18" s="755" t="s">
        <v>503</v>
      </c>
      <c r="B18" s="427">
        <f>B41</f>
        <v>9.424358000500792</v>
      </c>
      <c r="C18" s="428">
        <f>E18+D18+B18</f>
        <v>37</v>
      </c>
      <c r="D18" s="427">
        <f>D41</f>
        <v>25.449173024369514</v>
      </c>
      <c r="E18" s="429">
        <f>E41</f>
        <v>2.1264689751296926</v>
      </c>
      <c r="F18" s="430">
        <f>G18+H18+I18</f>
        <v>37.00213437295979</v>
      </c>
      <c r="G18" s="427">
        <f>G41</f>
        <v>2.1266644453509054</v>
      </c>
      <c r="H18" s="427">
        <f>H41</f>
        <v>25.451179545603846</v>
      </c>
      <c r="I18" s="429">
        <f>I41</f>
        <v>9.424290382005037</v>
      </c>
      <c r="L18" s="44"/>
      <c r="M18" s="44"/>
    </row>
    <row r="19" spans="1:13" ht="15.75" customHeight="1" thickBot="1">
      <c r="A19" s="780" t="s">
        <v>504</v>
      </c>
      <c r="B19" s="431">
        <f>ROUND(B45,2)</f>
        <v>463.18</v>
      </c>
      <c r="C19" s="432">
        <f>B19+D19+E19</f>
        <v>3324.72</v>
      </c>
      <c r="D19" s="431">
        <f>ROUND(D45,2)</f>
        <v>2309.04</v>
      </c>
      <c r="E19" s="433">
        <f>ROUND(E45,2)</f>
        <v>552.5</v>
      </c>
      <c r="F19" s="434">
        <f>G19+H19+I19</f>
        <v>3324.72</v>
      </c>
      <c r="G19" s="431">
        <f>ROUND(G45,2)</f>
        <v>552.5</v>
      </c>
      <c r="H19" s="431">
        <f>ROUND(H45,2)</f>
        <v>2309.04</v>
      </c>
      <c r="I19" s="433">
        <f>ROUND(I45,2)</f>
        <v>463.18</v>
      </c>
      <c r="M19" s="44"/>
    </row>
    <row r="20" spans="1:13" ht="15.75" customHeight="1">
      <c r="A20" s="781" t="s">
        <v>501</v>
      </c>
      <c r="B20" s="754">
        <f>ROUND(B50,2)</f>
        <v>38.35</v>
      </c>
      <c r="C20" s="530"/>
      <c r="D20" s="782">
        <f>ROUND(D50,2)</f>
        <v>147.92</v>
      </c>
      <c r="E20" s="783">
        <f>ROUND(E50,2)</f>
        <v>235.45</v>
      </c>
      <c r="F20" s="781" t="s">
        <v>501</v>
      </c>
      <c r="G20" s="531">
        <f aca="true" t="shared" si="0" ref="G20:I21">ROUND(G50,2)</f>
        <v>235.43</v>
      </c>
      <c r="H20" s="782">
        <f t="shared" si="0"/>
        <v>147.92</v>
      </c>
      <c r="I20" s="783">
        <f t="shared" si="0"/>
        <v>38.35</v>
      </c>
      <c r="K20" s="44"/>
      <c r="L20" s="44"/>
      <c r="M20" s="44"/>
    </row>
    <row r="21" spans="1:10" ht="15.75" customHeight="1">
      <c r="A21" s="784" t="s">
        <v>502</v>
      </c>
      <c r="B21" s="504">
        <f>ROUND(B51,2)</f>
        <v>29.99</v>
      </c>
      <c r="C21" s="532"/>
      <c r="D21" s="437">
        <f>ROUND(D51,2)</f>
        <v>79.84</v>
      </c>
      <c r="E21" s="438">
        <f>ROUND(E51,2)</f>
        <v>91.74</v>
      </c>
      <c r="F21" s="784" t="s">
        <v>502</v>
      </c>
      <c r="G21" s="490">
        <f t="shared" si="0"/>
        <v>91.75</v>
      </c>
      <c r="H21" s="435">
        <f t="shared" si="0"/>
        <v>79.85</v>
      </c>
      <c r="I21" s="436">
        <f t="shared" si="0"/>
        <v>29.99</v>
      </c>
      <c r="J21" s="51"/>
    </row>
    <row r="22" spans="1:10" ht="15.75" customHeight="1">
      <c r="A22" s="439" t="s">
        <v>162</v>
      </c>
      <c r="B22" s="440" t="s">
        <v>154</v>
      </c>
      <c r="C22" s="533" t="s">
        <v>163</v>
      </c>
      <c r="D22" s="440" t="s">
        <v>124</v>
      </c>
      <c r="E22" s="441" t="s">
        <v>153</v>
      </c>
      <c r="F22" s="442" t="s">
        <v>163</v>
      </c>
      <c r="G22" s="443" t="s">
        <v>153</v>
      </c>
      <c r="H22" s="443" t="s">
        <v>124</v>
      </c>
      <c r="I22" s="444" t="s">
        <v>154</v>
      </c>
      <c r="J22" s="52"/>
    </row>
    <row r="23" spans="1:9" ht="15.75" customHeight="1">
      <c r="A23" s="1005" t="s">
        <v>877</v>
      </c>
      <c r="B23" s="70" t="s">
        <v>161</v>
      </c>
      <c r="C23" s="1006" t="s">
        <v>877</v>
      </c>
      <c r="D23" s="70" t="s">
        <v>161</v>
      </c>
      <c r="E23" s="71" t="s">
        <v>161</v>
      </c>
      <c r="F23" s="1005" t="s">
        <v>877</v>
      </c>
      <c r="G23" s="70" t="s">
        <v>161</v>
      </c>
      <c r="H23" s="70" t="s">
        <v>161</v>
      </c>
      <c r="I23" s="71" t="s">
        <v>161</v>
      </c>
    </row>
    <row r="24" spans="1:9" ht="15.75" customHeight="1">
      <c r="A24" s="756" t="s">
        <v>391</v>
      </c>
      <c r="B24" s="794">
        <f>IF(OR(B23="istosm",B23="suprot",B23="unakrsno"),"",IF(B23="RT21",1,IF(B23="RT42",2,IF(B23="RT63",3,IF(B23="RT84",4,IF(B23="RT62",2,"SOS"))))))</f>
        <v>1</v>
      </c>
      <c r="C24" s="730" t="s">
        <v>391</v>
      </c>
      <c r="D24" s="340">
        <f>IF(OR(D23="istosm",D23="suprot",D23="unakrsno"),"",IF(D23="RT21",1,IF(D23="RT42",2,IF(D23="RT63",3,IF(D23="RT84",4,IF(D23="RT62",2,"SOS"))))))</f>
        <v>1</v>
      </c>
      <c r="E24" s="445">
        <f>IF(OR(E23="istosm",E23="suprot",E23="unakrsno"),"",IF(E23="RT21",1,IF(E23="RT42",2,IF(E23="RT63",3,IF(E23="RT84",4,IF(E23="RT62",2,"SOS"))))))</f>
        <v>1</v>
      </c>
      <c r="F24" s="756" t="s">
        <v>391</v>
      </c>
      <c r="G24" s="340">
        <f>IF(OR(G23="istosm",G23="suprot",G23="unakrsno"),"",IF(G23="RT21",1,IF(G23="RT42",2,IF(G23="RT63",3,IF(G23="RT84",4,IF(G23="RT62",2,"SOS"))))))</f>
        <v>1</v>
      </c>
      <c r="H24" s="340">
        <f>IF(OR(H23="istosm",H23="suprot",H23="unakrsno"),"",IF(H23="RT21",1,IF(H23="RT42",2,IF(H23="RT63",3,IF(H23="RT84",4,IF(H23="RT62",2,"SOS"))))))</f>
        <v>1</v>
      </c>
      <c r="I24" s="445">
        <f>IF(OR(I23="istosm",I23="suprot",I23="unakrsno"),"",IF(I23="RT21",1,IF(I23="RT42",2,IF(I23="RT63",3,IF(I23="RT84",4,IF(I23="RT62",2,"SOS"))))))</f>
        <v>1</v>
      </c>
    </row>
    <row r="25" spans="1:9" ht="15.75" customHeight="1">
      <c r="A25" s="1007"/>
      <c r="B25" s="1008" t="s">
        <v>900</v>
      </c>
      <c r="C25" s="1008"/>
      <c r="D25" s="1009"/>
      <c r="E25" s="1010"/>
      <c r="F25" s="1007"/>
      <c r="G25" s="1008" t="s">
        <v>900</v>
      </c>
      <c r="H25" s="1008"/>
      <c r="I25" s="1010"/>
    </row>
    <row r="26" spans="1:9" ht="15.75" customHeight="1">
      <c r="A26" s="758" t="s">
        <v>505</v>
      </c>
      <c r="B26" s="448">
        <f>B52</f>
        <v>93.13589891710092</v>
      </c>
      <c r="C26" s="746" t="s">
        <v>505</v>
      </c>
      <c r="D26" s="450">
        <f>D52</f>
        <v>191.6841032638909</v>
      </c>
      <c r="E26" s="451">
        <f>E52</f>
        <v>367.7241032638909</v>
      </c>
      <c r="F26" s="758" t="s">
        <v>505</v>
      </c>
      <c r="G26" s="448">
        <f aca="true" t="shared" si="1" ref="G26:I27">G52</f>
        <v>367.716502980659</v>
      </c>
      <c r="H26" s="452">
        <f t="shared" si="1"/>
        <v>191.676502980659</v>
      </c>
      <c r="I26" s="453">
        <f t="shared" si="1"/>
        <v>93.136</v>
      </c>
    </row>
    <row r="27" spans="1:9" ht="15.75" customHeight="1">
      <c r="A27" s="758" t="s">
        <v>506</v>
      </c>
      <c r="B27" s="454">
        <f>B53</f>
        <v>24.996328740366916</v>
      </c>
      <c r="C27" s="746" t="s">
        <v>506</v>
      </c>
      <c r="D27" s="456">
        <f>D53</f>
        <v>54.917581757340656</v>
      </c>
      <c r="E27" s="457">
        <f>E53</f>
        <v>85.79092649952847</v>
      </c>
      <c r="F27" s="758" t="s">
        <v>506</v>
      </c>
      <c r="G27" s="458">
        <f t="shared" si="1"/>
        <v>85.80274916233364</v>
      </c>
      <c r="H27" s="458">
        <f t="shared" si="1"/>
        <v>54.9234838699483</v>
      </c>
      <c r="I27" s="459">
        <f t="shared" si="1"/>
        <v>24.996319521571976</v>
      </c>
    </row>
    <row r="28" spans="1:9" ht="18" customHeight="1">
      <c r="A28" s="758" t="s">
        <v>507</v>
      </c>
      <c r="B28" s="795">
        <v>4.2273</v>
      </c>
      <c r="C28" s="746" t="s">
        <v>507</v>
      </c>
      <c r="D28" s="460"/>
      <c r="E28" s="785"/>
      <c r="F28" s="758" t="s">
        <v>507</v>
      </c>
      <c r="G28" s="461"/>
      <c r="H28" s="462"/>
      <c r="I28" s="413">
        <v>4.2273</v>
      </c>
    </row>
    <row r="29" spans="1:9" ht="18" customHeight="1">
      <c r="A29" s="758" t="s">
        <v>508</v>
      </c>
      <c r="B29" s="796">
        <v>4.2138</v>
      </c>
      <c r="C29" s="746" t="s">
        <v>508</v>
      </c>
      <c r="D29" s="68">
        <v>4.2109</v>
      </c>
      <c r="E29" s="69">
        <v>4.2219</v>
      </c>
      <c r="F29" s="758" t="s">
        <v>508</v>
      </c>
      <c r="G29" s="66">
        <v>4.2219</v>
      </c>
      <c r="H29" s="66">
        <v>4.2099</v>
      </c>
      <c r="I29" s="67">
        <v>4.2138</v>
      </c>
    </row>
    <row r="30" spans="1:9" ht="15.75" customHeight="1">
      <c r="A30" s="762" t="s">
        <v>605</v>
      </c>
      <c r="B30" s="797">
        <f>D50-C11</f>
        <v>127.91999999999999</v>
      </c>
      <c r="C30" s="683" t="s">
        <v>605</v>
      </c>
      <c r="D30" s="463">
        <f>D50-B51</f>
        <v>117.92734251926615</v>
      </c>
      <c r="E30" s="451">
        <f>B9-D51</f>
        <v>420.1574939660525</v>
      </c>
      <c r="F30" s="762" t="s">
        <v>605</v>
      </c>
      <c r="G30" s="464">
        <f>B9-H51</f>
        <v>420.14567130324735</v>
      </c>
      <c r="H30" s="465">
        <f>H50-I51</f>
        <v>117.92736095685603</v>
      </c>
      <c r="I30" s="466">
        <f>H50-C11</f>
        <v>127.91999999999999</v>
      </c>
    </row>
    <row r="31" spans="1:9" ht="15.75" customHeight="1">
      <c r="A31" s="758" t="s">
        <v>509</v>
      </c>
      <c r="B31" s="759">
        <f>A11*B28</f>
        <v>4.2273</v>
      </c>
      <c r="C31" s="746" t="s">
        <v>509</v>
      </c>
      <c r="D31" s="467">
        <f>D48/(E50-D50)</f>
        <v>26.38052453716279</v>
      </c>
      <c r="E31" s="468">
        <f>A11*(C9-B17)/E35</f>
        <v>2.0884379302384906</v>
      </c>
      <c r="F31" s="758" t="s">
        <v>509</v>
      </c>
      <c r="G31" s="469">
        <f>G48/G35</f>
        <v>2.088317940064813</v>
      </c>
      <c r="H31" s="469">
        <f>H48/(G50-H50)</f>
        <v>26.385106700832882</v>
      </c>
      <c r="I31" s="453">
        <f>A11*I28</f>
        <v>4.2273</v>
      </c>
    </row>
    <row r="32" spans="1:9" ht="15.75" customHeight="1">
      <c r="A32" s="784" t="s">
        <v>510</v>
      </c>
      <c r="B32" s="760">
        <f>B11*B29</f>
        <v>46.3518</v>
      </c>
      <c r="C32" s="735" t="s">
        <v>510</v>
      </c>
      <c r="D32" s="470">
        <f>B11*D29</f>
        <v>46.3199</v>
      </c>
      <c r="E32" s="471">
        <f>B11*E29</f>
        <v>46.4409</v>
      </c>
      <c r="F32" s="784" t="s">
        <v>510</v>
      </c>
      <c r="G32" s="472">
        <f>B11*G29</f>
        <v>46.4409</v>
      </c>
      <c r="H32" s="472">
        <f>B11*H29</f>
        <v>46.3089</v>
      </c>
      <c r="I32" s="473">
        <f>B11*I29</f>
        <v>46.3518</v>
      </c>
    </row>
    <row r="33" spans="1:9" ht="15.75" customHeight="1">
      <c r="A33" s="767" t="s">
        <v>53</v>
      </c>
      <c r="B33" s="770">
        <f>IF(B32&lt;B31,B32/B31,B31/B32)</f>
        <v>0.09120034173430158</v>
      </c>
      <c r="C33" s="766" t="s">
        <v>53</v>
      </c>
      <c r="D33" s="463">
        <f>IF(D32&lt;D31,D32/D31,D31/D32)</f>
        <v>0.569528961357058</v>
      </c>
      <c r="E33" s="451">
        <f>IF(E32&lt;E31,E32/E31,E31/E32)</f>
        <v>0.04496979882471035</v>
      </c>
      <c r="F33" s="767" t="s">
        <v>53</v>
      </c>
      <c r="G33" s="465">
        <f>IF(G32&lt;G31,G32/G31,G31/G32)</f>
        <v>0.04496721510704601</v>
      </c>
      <c r="H33" s="448">
        <f>IF(H32&lt;H31,H32/H31,H31/H32)</f>
        <v>0.5697631924064895</v>
      </c>
      <c r="I33" s="453">
        <f>IF(I32&lt;I31,I32/I31,I31/I32)</f>
        <v>0.09120034173430158</v>
      </c>
    </row>
    <row r="34" spans="1:9" ht="15.75" customHeight="1">
      <c r="A34" s="786" t="s">
        <v>409</v>
      </c>
      <c r="B34" s="764">
        <f>B31*B35/B32</f>
        <v>9.992657480733834</v>
      </c>
      <c r="C34" s="178" t="s">
        <v>409</v>
      </c>
      <c r="D34" s="474">
        <f>D48/D32</f>
        <v>49.84984855321363</v>
      </c>
      <c r="E34" s="468">
        <f>E48/E32</f>
        <v>11.896840931161972</v>
      </c>
      <c r="F34" s="786" t="s">
        <v>409</v>
      </c>
      <c r="G34" s="475">
        <f>G48/G32</f>
        <v>11.896840931161972</v>
      </c>
      <c r="H34" s="469">
        <f>H48/H32</f>
        <v>49.8616896536087</v>
      </c>
      <c r="I34" s="476">
        <f>IF(F15="PRIMAR",I35*I31/I32,I51-C11)</f>
        <v>9.992639043143953</v>
      </c>
    </row>
    <row r="35" spans="1:9" ht="15.75" customHeight="1">
      <c r="A35" s="786" t="s">
        <v>410</v>
      </c>
      <c r="B35" s="497">
        <f>D50-B50</f>
        <v>109.56820216579816</v>
      </c>
      <c r="C35" s="178" t="s">
        <v>410</v>
      </c>
      <c r="D35" s="478">
        <f>D48/D31</f>
        <v>87.5282065277818</v>
      </c>
      <c r="E35" s="479">
        <f>B9-E50</f>
        <v>264.5517934722182</v>
      </c>
      <c r="F35" s="786" t="s">
        <v>410</v>
      </c>
      <c r="G35" s="475">
        <f>B9-G50</f>
        <v>264.56699403868197</v>
      </c>
      <c r="H35" s="477">
        <f>H48/H31</f>
        <v>87.51300596131802</v>
      </c>
      <c r="I35" s="481">
        <f>IF(F15="PRIMAR",H50-I50,I32*I34/I31)</f>
        <v>109.56799999999998</v>
      </c>
    </row>
    <row r="36" spans="1:9" ht="15.75" customHeight="1">
      <c r="A36" s="786" t="s">
        <v>511</v>
      </c>
      <c r="B36" s="500">
        <f>B37*B30</f>
        <v>109.56820216579816</v>
      </c>
      <c r="C36" s="178" t="s">
        <v>512</v>
      </c>
      <c r="D36" s="482">
        <f>IF(D34&gt;D35,D34,D35)</f>
        <v>87.5282065277818</v>
      </c>
      <c r="E36" s="457">
        <f>IF(E34&gt;E35,E34,E35)</f>
        <v>264.5517934722182</v>
      </c>
      <c r="F36" s="786" t="s">
        <v>512</v>
      </c>
      <c r="G36" s="458">
        <f>IF(G34&gt;G35,G34,G35)</f>
        <v>264.56699403868197</v>
      </c>
      <c r="H36" s="458">
        <f>IF(H34&gt;H35,H34,H35)</f>
        <v>87.51300596131802</v>
      </c>
      <c r="I36" s="483">
        <f>IF(I34&gt;I35,I34,I35)</f>
        <v>109.56799999999998</v>
      </c>
    </row>
    <row r="37" spans="1:9" ht="15.75" customHeight="1">
      <c r="A37" s="763" t="s">
        <v>51</v>
      </c>
      <c r="B37" s="500">
        <f>IF(B23="istosm",(B39-1)/(B39*(1+B33)),IF(B23="suprot",(B39-1)/(B39-B33),IF(B23="unakrsno",(B39-1)/(B39+B33*(B39-1)/2),(((1-B33*B38)/(1-B38))^B24-1)/(((1-B33*B38)/(1-B38))^B24-B33))))</f>
        <v>0.8565369149921683</v>
      </c>
      <c r="C37" s="765" t="s">
        <v>51</v>
      </c>
      <c r="D37" s="484"/>
      <c r="E37" s="485">
        <f>E36/E30</f>
        <v>0.6296491131813376</v>
      </c>
      <c r="F37" s="763" t="s">
        <v>51</v>
      </c>
      <c r="G37" s="486">
        <f>G36/G30</f>
        <v>0.6297030104297473</v>
      </c>
      <c r="H37" s="487"/>
      <c r="I37" s="436">
        <f>I36/I30</f>
        <v>0.856535334584115</v>
      </c>
    </row>
    <row r="38" spans="1:9" ht="15.75" customHeight="1">
      <c r="A38" s="787" t="s">
        <v>400</v>
      </c>
      <c r="B38" s="504">
        <f>IF(OR(B23="istosm",B23="suprot",B23="unakrsno"),"",2*(B39-1)/((B39-1)*(1+B33)+(B39+1)*(1+B33^2)^IF(B23="RT62",1/3,0.5)))</f>
        <v>0.8565369149921683</v>
      </c>
      <c r="C38" s="667" t="s">
        <v>400</v>
      </c>
      <c r="D38" s="488"/>
      <c r="E38" s="489">
        <f>IF(E24="","",IF(E37&gt;1,"SOS",(((1-E33*E37)/(1-E37))^(1/E24)-1)/(((1-E33*E37)/(1-E37))^(1/E24)-E33)))</f>
        <v>0.6296491131813376</v>
      </c>
      <c r="F38" s="787" t="s">
        <v>400</v>
      </c>
      <c r="G38" s="490">
        <f>IF(G24="","",IF(G37&gt;1,"SOS",(((1-G33*G37)/(1-G37))^(1/G24)-1)/(((1-G33*G37)/(1-G37))^(1/G24)-G33)))</f>
        <v>0.6297030104297474</v>
      </c>
      <c r="H38" s="491"/>
      <c r="I38" s="438">
        <f>IF(I24="","",IF(I37&gt;1,"SOS",(((1-I33*I37)/(1-I37))^(1/I24)-1)/(((1-I33*I37)/(1-I37))^(1/I24)-I33)))</f>
        <v>0.856535334584115</v>
      </c>
    </row>
    <row r="39" spans="1:10" ht="15.75" customHeight="1">
      <c r="A39" s="768" t="s">
        <v>57</v>
      </c>
      <c r="B39" s="454">
        <f>IF(B23="istosm",EXP((1+B33)*B40),IF(B23="suprot",EXP((1-B33)*B40),IF(B23="unakrsno",EXP(B40),EXP(B40*(1+B33^2)^IF(B23="RT62",1/3,0.5)/B24))))</f>
        <v>9.380714887323645</v>
      </c>
      <c r="C39" s="769" t="s">
        <v>412</v>
      </c>
      <c r="D39" s="492"/>
      <c r="E39" s="489">
        <f>IF(E23="istosm",1/(1+E33),IF(E23="suprot","",IF(E23="unakrsno",1/(1+E33/2),IF(OR(E23="RT21",E23="RT42",E23="RT63",E23="RT84"),2/(1+E33+(1+E33^2)^0.5),IF(E23="RT62",2/(1+E33+(1+E33^2)^(1/3)),"SOS")))))</f>
        <v>0.9775264568141647</v>
      </c>
      <c r="F39" s="664" t="s">
        <v>412</v>
      </c>
      <c r="G39" s="490">
        <f>IF(G23="istosm",1/(1+G33),IF(G23="suprot","",IF(G23="unakrsno",1/(1+G33/2),IF(OR(G23="RT21",G23="RT42",G23="RT63",G23="RT84"),2/(1+G33+(1+G33^2)^0.5),IF(G23="RT62",2/(1+G33+(1+G33^2)^(1/3)),"SOS")))))</f>
        <v>0.9775277467170272</v>
      </c>
      <c r="H39" s="493"/>
      <c r="I39" s="438">
        <f>IF(I23="istosm",1/(1+I33),IF(I23="suprot","",IF(I23="unakrsno",1/(1+I33/2),IF(OR(I23="RT21",I23="RT42",I23="RT63",I23="RT84"),2/(1+I33+(1+I33^2)^0.5),IF(I23="RT62",2/(1+I33+(1+I33^2)^(1/3)),"SOS")))))</f>
        <v>0.954494256720493</v>
      </c>
      <c r="J39" s="53"/>
    </row>
    <row r="40" spans="1:9" ht="15.75" customHeight="1">
      <c r="A40" s="768" t="s">
        <v>402</v>
      </c>
      <c r="B40" s="490">
        <f>B41/IF(B31&gt;B32,B32,B31)</f>
        <v>2.2294036383745635</v>
      </c>
      <c r="C40" s="766" t="s">
        <v>402</v>
      </c>
      <c r="D40" s="494">
        <f>D41/IF(D31&gt;D32,D32,D31)</f>
        <v>0.9646954892242093</v>
      </c>
      <c r="E40" s="495">
        <f>IF(E37&gt;E39,"SOS",IF(E37&gt;1,"SOS",IF(E23="suprot",LN((1-E33*E37)/(1-E37))/(1-E33),IF(E23="istosm",LN(1/(1-E37*(1+E33)))/(1+E33),IF(E23="unakrsno",LN((1-E33*E37/2)/(1-E37*(1+E33/2))),E24*LN((2-E38*(1+E33-(1+E33^2)^IF(E23="RT62",1/3,0.5)))/(2-E38*(1+E33+(1+E33^2)^IF(E23="RT62",1/3,0.5))))/(1+E33^2)^IF(E23="RT62",1/3,0.5))))))</f>
        <v>1.018210282594733</v>
      </c>
      <c r="F40" s="768" t="s">
        <v>402</v>
      </c>
      <c r="G40" s="464">
        <f>IF(G23="suprot",LN((1-G33*G37)/(1-G37))/(1-G33),IF(G23="istosm",LN(1/(1-G37*(1+G33)))/(1+G33),IF(G23="unakrsno",LN((1-G33*G37/2)/(1-G37*(1+G33/2))),G24*LN((2-G38*(1+G33-(1+G33^2)^IF(G23="RT62",1/3,0.5)))/(2-G38*(1+G33+(1+G33^2)^IF(G23="RT62",1/3,0.5))))/(1+G33^2)^IF(G23="RT62",1/3,0.5))))</f>
        <v>1.018362388480416</v>
      </c>
      <c r="H40" s="496">
        <f>H41/IF(H31&gt;H32,H32,H31)</f>
        <v>0.9646040030908969</v>
      </c>
      <c r="I40" s="459">
        <f>IF(I23="suprot",LN((1-I33*I37)/(1-I37))/(1-I33),IF(I23="istosm",LN(1/(1-I37*(1+I33)))/(1+I33),IF(I23="unakrsno",LN((1-I33*I37/2)/(1-I37*(1+I33/2))),I24*LN((2-I38*(1+I33-(1+I33^2)^IF(I23="RT62",1/3,0.5)))/(2-I38*(1+I33+(1+I33^2)^IF(I23="RT62",1/3,0.5))))/(1+I33^2)^IF(I23="RT62",1/3,0.5))))</f>
        <v>2.2293876427045722</v>
      </c>
    </row>
    <row r="41" spans="1:9" ht="15.75" customHeight="1">
      <c r="A41" s="757" t="s">
        <v>59</v>
      </c>
      <c r="B41" s="475">
        <f>C17-D41-E41</f>
        <v>9.424358000500792</v>
      </c>
      <c r="C41" s="748" t="s">
        <v>59</v>
      </c>
      <c r="D41" s="498">
        <f>D48/D44</f>
        <v>25.449173024369514</v>
      </c>
      <c r="E41" s="453">
        <f>E40*IF(E31&gt;E32,E32,E31)</f>
        <v>2.1264689751296926</v>
      </c>
      <c r="F41" s="757" t="s">
        <v>59</v>
      </c>
      <c r="G41" s="448">
        <f>G40*IF(G31&gt;G32,G32,G31)</f>
        <v>2.1266644453509054</v>
      </c>
      <c r="H41" s="498">
        <f>H48/H44</f>
        <v>25.451179545603846</v>
      </c>
      <c r="I41" s="453">
        <f>I40*IF(I31&gt;I32,I32,I31)</f>
        <v>9.424290382005037</v>
      </c>
    </row>
    <row r="42" spans="1:9" ht="15.75" customHeight="1">
      <c r="A42" s="763" t="s">
        <v>49</v>
      </c>
      <c r="B42" s="772">
        <f>IF(B33=1,B30-B34,(B36-B33*B36)/LN((B30-B33*B36)/(B30-B36)))</f>
        <v>53.52542179218803</v>
      </c>
      <c r="C42" s="765" t="s">
        <v>49</v>
      </c>
      <c r="D42" s="456">
        <f>D34/LN(D30/(D30-D34))</f>
        <v>90.73143546900008</v>
      </c>
      <c r="E42" s="457">
        <f>IF(E33=1,E30-E36,(E34-E35)/LN((E30-E35)/(E30-E34)))</f>
        <v>261.9324481259454</v>
      </c>
      <c r="F42" s="763" t="s">
        <v>49</v>
      </c>
      <c r="G42" s="499">
        <f>IF(G33=1,G30-G34,(G34-G35)/LN((G30-G35)/(G30-G34)))</f>
        <v>261.90891136013164</v>
      </c>
      <c r="H42" s="500">
        <f>IF(H33=1,H30-H34,H34/LN(H30/(H30-H34)))</f>
        <v>90.72428238002186</v>
      </c>
      <c r="I42" s="483">
        <f>IF(I33=1,I30-I34,(I34-I35)/LN((I30-I35)/(I30-I34)))</f>
        <v>53.52563548705324</v>
      </c>
    </row>
    <row r="43" spans="1:11" ht="15.75" customHeight="1">
      <c r="A43" s="771" t="s">
        <v>56</v>
      </c>
      <c r="B43" s="435">
        <f>B37*B30/(B40*B42)</f>
        <v>0.9181967088685794</v>
      </c>
      <c r="C43" s="773" t="s">
        <v>56</v>
      </c>
      <c r="D43" s="501">
        <v>1</v>
      </c>
      <c r="E43" s="457">
        <f>E37*E30/(E40*E42)</f>
        <v>0.9919366332504354</v>
      </c>
      <c r="F43" s="771" t="s">
        <v>56</v>
      </c>
      <c r="G43" s="499">
        <f>G37*G30/(G40*G42)</f>
        <v>0.9919345938033379</v>
      </c>
      <c r="H43" s="497">
        <v>1</v>
      </c>
      <c r="I43" s="483">
        <f>I37*I30/(I40*I42)</f>
        <v>0.9181979368507242</v>
      </c>
      <c r="K43" s="57"/>
    </row>
    <row r="44" spans="1:9" ht="15.75" customHeight="1">
      <c r="A44" s="480" t="s">
        <v>513</v>
      </c>
      <c r="B44" s="437">
        <f>B42*B43</f>
        <v>49.14686613038958</v>
      </c>
      <c r="C44" s="503" t="s">
        <v>513</v>
      </c>
      <c r="D44" s="494">
        <f>D42*D43</f>
        <v>90.73143546900008</v>
      </c>
      <c r="E44" s="495">
        <f>E42*E43</f>
        <v>259.8203907330946</v>
      </c>
      <c r="F44" s="502" t="s">
        <v>513</v>
      </c>
      <c r="G44" s="454">
        <f>G42*G43</f>
        <v>259.79650960348664</v>
      </c>
      <c r="H44" s="504">
        <f>H42*H43</f>
        <v>90.72428238002186</v>
      </c>
      <c r="I44" s="459">
        <f>I42*I43</f>
        <v>49.147128072836196</v>
      </c>
    </row>
    <row r="45" spans="1:9" ht="15.75" customHeight="1">
      <c r="A45" s="774" t="s">
        <v>514</v>
      </c>
      <c r="B45" s="505">
        <f>B32*B34</f>
        <v>463.1776610154785</v>
      </c>
      <c r="C45" s="701" t="s">
        <v>514</v>
      </c>
      <c r="D45" s="505">
        <f>D32*D34</f>
        <v>2309.04</v>
      </c>
      <c r="E45" s="506">
        <f>E32*E34</f>
        <v>552.5</v>
      </c>
      <c r="F45" s="774" t="s">
        <v>514</v>
      </c>
      <c r="G45" s="505">
        <f>G32*G34</f>
        <v>552.5</v>
      </c>
      <c r="H45" s="505">
        <f>H32*H34</f>
        <v>2309.04</v>
      </c>
      <c r="I45" s="506">
        <f>I32*I34</f>
        <v>463.17680639999986</v>
      </c>
    </row>
    <row r="46" spans="1:9" ht="15.75" customHeight="1">
      <c r="A46" s="788" t="s">
        <v>515</v>
      </c>
      <c r="B46" s="507">
        <f>B31*B35</f>
        <v>463.1776610154785</v>
      </c>
      <c r="C46" s="702" t="s">
        <v>515</v>
      </c>
      <c r="D46" s="507">
        <f>D31*D35</f>
        <v>2309.04</v>
      </c>
      <c r="E46" s="508">
        <f>E31*E35</f>
        <v>552.5</v>
      </c>
      <c r="F46" s="788" t="s">
        <v>515</v>
      </c>
      <c r="G46" s="507">
        <f>G31*G35</f>
        <v>552.5</v>
      </c>
      <c r="H46" s="507">
        <f>H31*H35</f>
        <v>2309.04</v>
      </c>
      <c r="I46" s="509">
        <f>IF(F15="PRIMAR",I31*(H50-I50),I31*I35)</f>
        <v>463.17680639999986</v>
      </c>
    </row>
    <row r="47" spans="1:9" ht="15.75" customHeight="1">
      <c r="A47" s="788" t="s">
        <v>518</v>
      </c>
      <c r="B47" s="507">
        <f>B41*B44</f>
        <v>463.17766101547846</v>
      </c>
      <c r="C47" s="702" t="s">
        <v>518</v>
      </c>
      <c r="D47" s="507">
        <f>D41*D44</f>
        <v>2309.04</v>
      </c>
      <c r="E47" s="510">
        <f>E41*E44</f>
        <v>552.5</v>
      </c>
      <c r="F47" s="788" t="s">
        <v>516</v>
      </c>
      <c r="G47" s="507">
        <f>G41*G44</f>
        <v>552.5000000000001</v>
      </c>
      <c r="H47" s="507">
        <f>H41*H44</f>
        <v>2309.04</v>
      </c>
      <c r="I47" s="510">
        <f>I41*I44</f>
        <v>463.1768063999999</v>
      </c>
    </row>
    <row r="48" spans="1:9" ht="15.75" customHeight="1">
      <c r="A48" s="787"/>
      <c r="B48" s="775"/>
      <c r="C48" s="776" t="s">
        <v>519</v>
      </c>
      <c r="D48" s="511">
        <f>IF(D9&lt;0.8,"SOS",A11*H9*(1+D17)*D9)</f>
        <v>2309.04</v>
      </c>
      <c r="E48" s="512">
        <f>A11*(C9-B17)</f>
        <v>552.5</v>
      </c>
      <c r="F48" s="787" t="s">
        <v>517</v>
      </c>
      <c r="G48" s="511">
        <f>A11*(C9-G17)</f>
        <v>552.5</v>
      </c>
      <c r="H48" s="511">
        <f>IF(D9&lt;0.8,"SOS",A11*H9*(1+H17)*D9)</f>
        <v>2309.04</v>
      </c>
      <c r="I48" s="789" t="s">
        <v>519</v>
      </c>
    </row>
    <row r="49" spans="1:9" ht="15.75" customHeight="1">
      <c r="A49" s="446"/>
      <c r="B49" s="447" t="s">
        <v>48</v>
      </c>
      <c r="C49" s="254"/>
      <c r="D49" s="240"/>
      <c r="E49" s="423"/>
      <c r="F49" s="446"/>
      <c r="G49" s="447" t="s">
        <v>48</v>
      </c>
      <c r="H49" s="254"/>
      <c r="I49" s="513"/>
    </row>
    <row r="50" spans="1:9" ht="15.75" customHeight="1">
      <c r="A50" s="758" t="s">
        <v>501</v>
      </c>
      <c r="B50" s="514">
        <f>B15</f>
        <v>38.35179783420183</v>
      </c>
      <c r="C50" s="746" t="s">
        <v>501</v>
      </c>
      <c r="D50" s="515">
        <f>E9</f>
        <v>147.92</v>
      </c>
      <c r="E50" s="516">
        <f>(D50-IF(C15="cevi",D11/E11,1)*(H11/G11)*D51)/(1-IF(C15="cevi",D11/E11,1)*(H11/G11))</f>
        <v>235.4482065277818</v>
      </c>
      <c r="F50" s="758" t="s">
        <v>501</v>
      </c>
      <c r="G50" s="514">
        <f>(H50-IF(H15="cevi",D11/E11,1)*(H11/G11)*H51)/(1-IF(H15="cevi",(D11/E11),1)*(H11/G11))</f>
        <v>235.433005961318</v>
      </c>
      <c r="H50" s="517">
        <f>E9</f>
        <v>147.92</v>
      </c>
      <c r="I50" s="516">
        <f>IF(F15="PRIMAR",G15,H50-I35)</f>
        <v>38.352</v>
      </c>
    </row>
    <row r="51" spans="1:9" ht="15.75" customHeight="1">
      <c r="A51" s="784" t="s">
        <v>502</v>
      </c>
      <c r="B51" s="518">
        <f>C11+B34</f>
        <v>29.992657480733833</v>
      </c>
      <c r="C51" s="735" t="s">
        <v>502</v>
      </c>
      <c r="D51" s="514">
        <f>B51+D34</f>
        <v>79.84250603394747</v>
      </c>
      <c r="E51" s="519">
        <f>D51+E34</f>
        <v>91.73934696510945</v>
      </c>
      <c r="F51" s="784" t="s">
        <v>502</v>
      </c>
      <c r="G51" s="518">
        <f>IF(F15="PRIMAR",H51+G34,G15)</f>
        <v>91.75116962791462</v>
      </c>
      <c r="H51" s="520">
        <f>IF(F15="PRIMAR",I51+H34,G51-G34)</f>
        <v>79.85432869675265</v>
      </c>
      <c r="I51" s="521">
        <f>IF(F15="PRIMAR",C11+I34,H51-H34)</f>
        <v>29.992639043143953</v>
      </c>
    </row>
    <row r="52" spans="1:9" ht="15.75" customHeight="1">
      <c r="A52" s="758" t="s">
        <v>505</v>
      </c>
      <c r="B52" s="522">
        <f>(E9+B50)/2</f>
        <v>93.13589891710092</v>
      </c>
      <c r="C52" s="746" t="s">
        <v>505</v>
      </c>
      <c r="D52" s="522">
        <f>(E50+D50)/2</f>
        <v>191.6841032638909</v>
      </c>
      <c r="E52" s="524">
        <f>(B9+E50)/2</f>
        <v>367.7241032638909</v>
      </c>
      <c r="F52" s="758" t="s">
        <v>505</v>
      </c>
      <c r="G52" s="522">
        <f>(B9+G50)/2</f>
        <v>367.716502980659</v>
      </c>
      <c r="H52" s="522">
        <f>(G50+H50)/2</f>
        <v>191.676502980659</v>
      </c>
      <c r="I52" s="524">
        <f>(H50+I50)/2</f>
        <v>93.136</v>
      </c>
    </row>
    <row r="53" spans="1:9" ht="15.75" customHeight="1">
      <c r="A53" s="758" t="s">
        <v>506</v>
      </c>
      <c r="B53" s="525">
        <f>(C11+B51)/2</f>
        <v>24.996328740366916</v>
      </c>
      <c r="C53" s="746" t="s">
        <v>506</v>
      </c>
      <c r="D53" s="525">
        <f>(B51+D51)/2</f>
        <v>54.917581757340656</v>
      </c>
      <c r="E53" s="526">
        <f>(D51+E51)/2</f>
        <v>85.79092649952847</v>
      </c>
      <c r="F53" s="758" t="s">
        <v>506</v>
      </c>
      <c r="G53" s="525">
        <f>(H51+G51)/2</f>
        <v>85.80274916233364</v>
      </c>
      <c r="H53" s="525">
        <f>(I51+H51)/2</f>
        <v>54.9234838699483</v>
      </c>
      <c r="I53" s="526">
        <f>(C11+I51)/2</f>
        <v>24.996319521571976</v>
      </c>
    </row>
    <row r="54" spans="1:9" ht="15.75" customHeight="1" thickBot="1">
      <c r="A54" s="1012" t="s">
        <v>877</v>
      </c>
      <c r="B54" s="527" t="str">
        <f>B23</f>
        <v>RT21</v>
      </c>
      <c r="C54" s="1011" t="s">
        <v>877</v>
      </c>
      <c r="D54" s="527" t="str">
        <f>D23</f>
        <v>RT21</v>
      </c>
      <c r="E54" s="528" t="str">
        <f>E23</f>
        <v>RT21</v>
      </c>
      <c r="F54" s="1012" t="s">
        <v>877</v>
      </c>
      <c r="G54" s="527" t="str">
        <f>G23</f>
        <v>RT21</v>
      </c>
      <c r="H54" s="527" t="str">
        <f>H23</f>
        <v>RT21</v>
      </c>
      <c r="I54" s="528" t="str">
        <f>I23</f>
        <v>RT21</v>
      </c>
    </row>
    <row r="55" spans="1:9" ht="15.75" customHeight="1">
      <c r="A55" s="242"/>
      <c r="B55" s="242"/>
      <c r="C55" s="242"/>
      <c r="D55" s="242"/>
      <c r="E55" s="242"/>
      <c r="F55" s="529"/>
      <c r="G55" s="242"/>
      <c r="H55" s="242"/>
      <c r="I55" s="242"/>
    </row>
    <row r="56" spans="1:9" ht="15.75" customHeight="1">
      <c r="A56" s="1013" t="s">
        <v>168</v>
      </c>
      <c r="B56" s="1013"/>
      <c r="C56" s="272"/>
      <c r="D56" s="272"/>
      <c r="E56" s="272"/>
      <c r="F56" s="1013" t="s">
        <v>902</v>
      </c>
      <c r="G56" s="272"/>
      <c r="H56" s="272"/>
      <c r="I56" s="272"/>
    </row>
    <row r="57" spans="1:9" ht="15.75" customHeight="1">
      <c r="A57" s="1013" t="s">
        <v>901</v>
      </c>
      <c r="B57" s="272"/>
      <c r="C57" s="1014"/>
      <c r="D57" s="1015"/>
      <c r="E57" s="1015"/>
      <c r="F57" s="1013" t="s">
        <v>166</v>
      </c>
      <c r="G57" s="1015"/>
      <c r="H57" s="1015"/>
      <c r="I57" s="272"/>
    </row>
    <row r="58" ht="15.75" customHeight="1">
      <c r="F58" s="48"/>
    </row>
    <row r="59" spans="2:9" ht="15.75" customHeight="1">
      <c r="B59" s="27"/>
      <c r="E59" s="25"/>
      <c r="F59" s="24"/>
      <c r="G59" s="25"/>
      <c r="H59" s="31"/>
      <c r="I59" s="24"/>
    </row>
    <row r="60" spans="1:8" ht="15.75" customHeight="1">
      <c r="A60" s="28"/>
      <c r="B60" s="29"/>
      <c r="C60" s="29"/>
      <c r="D60" s="29"/>
      <c r="E60" s="28"/>
      <c r="F60" s="29"/>
      <c r="G60" s="29"/>
      <c r="H60" s="26"/>
    </row>
    <row r="61" spans="1:8" ht="15.75" customHeight="1">
      <c r="A61" s="30"/>
      <c r="B61" s="30"/>
      <c r="C61" s="30"/>
      <c r="D61" s="30"/>
      <c r="E61" s="30"/>
      <c r="F61" s="30"/>
      <c r="G61" s="30"/>
      <c r="H61" s="26"/>
    </row>
    <row r="62" spans="1:8" ht="15.75" customHeight="1">
      <c r="A62" s="29"/>
      <c r="B62" s="30"/>
      <c r="C62" s="29"/>
      <c r="D62" s="29"/>
      <c r="E62" s="29"/>
      <c r="F62" s="29"/>
      <c r="G62" s="29"/>
      <c r="H62" s="26"/>
    </row>
    <row r="63" spans="1:8" ht="18" customHeight="1">
      <c r="A63" s="29"/>
      <c r="B63" s="29"/>
      <c r="C63" s="29"/>
      <c r="D63" s="29"/>
      <c r="E63" s="29"/>
      <c r="F63" s="29"/>
      <c r="G63" s="29"/>
      <c r="H63" s="26"/>
    </row>
    <row r="64" spans="1:7" ht="18" customHeight="1">
      <c r="A64" s="29"/>
      <c r="B64" s="29"/>
      <c r="C64" s="29"/>
      <c r="D64" s="29"/>
      <c r="E64" s="29"/>
      <c r="F64" s="29"/>
      <c r="G64" s="29"/>
    </row>
    <row r="65" spans="1:7" ht="18" customHeight="1">
      <c r="A65" s="29"/>
      <c r="B65" s="29"/>
      <c r="C65" s="29"/>
      <c r="D65" s="29"/>
      <c r="E65" s="29"/>
      <c r="F65" s="29"/>
      <c r="G65" s="29"/>
    </row>
    <row r="66" spans="2:6" ht="18" customHeight="1">
      <c r="B66" s="29"/>
      <c r="F66" s="29"/>
    </row>
    <row r="67" spans="2:6" ht="18" customHeight="1">
      <c r="B67" s="29"/>
      <c r="F67" s="29"/>
    </row>
    <row r="68" spans="1:6" ht="18" customHeight="1">
      <c r="A68" s="47"/>
      <c r="B68" s="29"/>
      <c r="F68" s="29"/>
    </row>
    <row r="69" spans="2:6" ht="18" customHeight="1">
      <c r="B69" s="29"/>
      <c r="F69" s="29"/>
    </row>
    <row r="70" spans="2:6" ht="18" customHeight="1">
      <c r="B70" s="29"/>
      <c r="F70" s="29"/>
    </row>
    <row r="71" spans="2:6" ht="18" customHeight="1">
      <c r="B71" s="29"/>
      <c r="F71" s="29"/>
    </row>
    <row r="72" spans="2:6" ht="18" customHeight="1">
      <c r="B72" s="29"/>
      <c r="F72" s="29"/>
    </row>
    <row r="73" spans="2:6" ht="18" customHeight="1">
      <c r="B73" s="29"/>
      <c r="F73" s="29"/>
    </row>
    <row r="78" ht="14.25">
      <c r="F78" s="48"/>
    </row>
  </sheetData>
  <sheetProtection password="C784" sheet="1" objects="1" scenarios="1"/>
  <dataValidations count="17">
    <dataValidation type="list" allowBlank="1" showInputMessage="1" showErrorMessage="1" promptTitle="Zadata temperatura na izlazu" prompt="Uzeti iz menija" errorTitle="IZLAZNA TEMPERATURA" error="Mora biti&#10;PRIMAR ili SEKUNDAR" sqref="F15">
      <formula1>"PRIMAR, SEKUNDAR"</formula1>
    </dataValidation>
    <dataValidation allowBlank="1" showInputMessage="1" showErrorMessage="1" prompt="Obavezan podatak" sqref="A9"/>
    <dataValidation type="list" allowBlank="1" showInputMessage="1" showErrorMessage="1" promptTitle="Polozaj primara u aparatu" prompt="Uzeti iz menija" sqref="H15">
      <formula1>"cevi,omotacu"</formula1>
    </dataValidation>
    <dataValidation allowBlank="1" showInputMessage="1" showErrorMessage="1" promptTitle="ZADATA VREDNOST" prompt="kA" sqref="C17"/>
    <dataValidation allowBlank="1" showInputMessage="1" showErrorMessage="1" promptTitle="RACUNSKA VREDNOST" prompt="Izlaz primara iz RT" sqref="A15"/>
    <dataValidation allowBlank="1" showInputMessage="1" showErrorMessage="1" promptTitle="TOPLOTNA SNAGA RAZMENE" prompt="Preko bilansa primara" sqref="I15"/>
    <dataValidation allowBlank="1" showInputMessage="1" showErrorMessage="1" promptTitle="PRIVIDNI TOPLOTNI EKVIVALENT" prompt="Izvedena vrednost za paru" sqref="G31"/>
    <dataValidation allowBlank="1" showInputMessage="1" showErrorMessage="1" promptTitle="PRIVIDNI TOPLOTNI EKVIVALENT" prompt="Izvedena vrednost za mesavinu pare i kondenzata" sqref="H31"/>
    <dataValidation allowBlank="1" showInputMessage="1" showErrorMessage="1" promptTitle="ITERACIJA temp. pare na izlazu " prompt="Predpostaviti kao temperaturu kondenzacije,&#10;zatim uneti =A15" sqref="B15"/>
    <dataValidation allowBlank="1" showInputMessage="1" showErrorMessage="1" promptTitle="Specificna toplota  ITERACIJE" prompt="Uneti vrednosti za izracunatu srednju temperaturu fluida&#10;" sqref="B28:B29 D29:E29 G29:H29 I28:I29"/>
    <dataValidation type="list" allowBlank="1" showInputMessage="1" showErrorMessage="1" promptTitle="Konfiguracija aparata" prompt="Izabrati iz menija" sqref="B23 D23:E23 G23:I23">
      <formula1>"ISTOS,SUPROT,UNAKRSNO,RT21,RT42,RT63,RT84,RT62"</formula1>
    </dataValidation>
    <dataValidation allowBlank="1" showInputMessage="1" showErrorMessage="1" promptTitle="ITERACIJE ENTALPIJE" prompt="Predpostaviti vrednost za suvu paru,&#10;zatim unositi vrednost prema izracunatoj temperaturi na granici hladjenja pare tpHP" sqref="B17 G17"/>
    <dataValidation type="list" allowBlank="1" showInputMessage="1" showErrorMessage="1" promptTitle="Polozaj primara u aparatu" prompt="Uzeti iz menija" sqref="C15">
      <formula1>"cevi,omotacu"</formula1>
    </dataValidation>
    <dataValidation allowBlank="1" showInputMessage="1" showErrorMessage="1" promptTitle="PRIVIDNI TOPLOTNI EKVIVALENT" prompt="Izvedena vrednost za  paru" sqref="E31"/>
    <dataValidation allowBlank="1" showInputMessage="1" showErrorMessage="1" promptTitle="PRIVIDNI TOPLOTNI EKVIVALENT" prompt="Izvedena vrednost za mesavinu pare i kondenzata" sqref="D31"/>
    <dataValidation allowBlank="1" showInputMessage="1" showErrorMessage="1" prompt="Ukupna vrednost za sve faze" sqref="C18:C19 F18:F19"/>
    <dataValidation allowBlank="1" showInputMessage="1" showErrorMessage="1" promptTitle="ALARM" prompt="Ne moze biti izlaz primara veci od temperature kondenzacije&#10;Potrebno je menjati ulazne podatke: kA, protoke ili temperature na ulazu" sqref="D15"/>
  </dataValidations>
  <printOptions/>
  <pageMargins left="0.7480314960629921" right="0.2362204724409449" top="0.5905511811023623" bottom="0.1968503937007874" header="0.5118110236220472" footer="0.5118110236220472"/>
  <pageSetup horizontalDpi="600" verticalDpi="600" orientation="portrait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H61"/>
  <sheetViews>
    <sheetView showGridLines="0" workbookViewId="0" topLeftCell="A1">
      <selection activeCell="M1" sqref="M1"/>
    </sheetView>
  </sheetViews>
  <sheetFormatPr defaultColWidth="9.140625" defaultRowHeight="12.75"/>
  <cols>
    <col min="1" max="4" width="9.00390625" style="34" customWidth="1"/>
    <col min="5" max="5" width="9.00390625" style="40" customWidth="1"/>
    <col min="6" max="11" width="9.00390625" style="34" customWidth="1"/>
    <col min="12" max="12" width="10.7109375" style="34" customWidth="1"/>
    <col min="13" max="13" width="9.00390625" style="34" customWidth="1"/>
    <col min="14" max="16384" width="9.140625" style="34" customWidth="1"/>
  </cols>
  <sheetData>
    <row r="1" s="14" customFormat="1" ht="12.75">
      <c r="M1" s="659" t="str">
        <f>GEOMETRIJA!M1</f>
        <v>ver.: v2, jun 2002.</v>
      </c>
    </row>
    <row r="2" s="14" customFormat="1" ht="12.75"/>
    <row r="3" s="14" customFormat="1" ht="12.75"/>
    <row r="4" s="14" customFormat="1" ht="12.75"/>
    <row r="5" spans="5:6" s="14" customFormat="1" ht="12.75" customHeight="1">
      <c r="E5" s="61"/>
      <c r="F5" s="54"/>
    </row>
    <row r="6" spans="1:6" s="39" customFormat="1" ht="12.75">
      <c r="A6" s="35"/>
      <c r="B6" s="35"/>
      <c r="C6" s="35"/>
      <c r="D6" s="36"/>
      <c r="E6" s="37"/>
      <c r="F6" s="38"/>
    </row>
    <row r="7" spans="1:13" s="39" customFormat="1" ht="15.75" customHeight="1">
      <c r="A7" s="1016" t="s">
        <v>101</v>
      </c>
      <c r="B7" s="1017" t="s">
        <v>903</v>
      </c>
      <c r="C7" s="1018"/>
      <c r="D7" s="1018"/>
      <c r="E7" s="1018"/>
      <c r="F7" s="1018"/>
      <c r="G7" s="913"/>
      <c r="H7" s="1016" t="s">
        <v>125</v>
      </c>
      <c r="I7" s="1017" t="s">
        <v>904</v>
      </c>
      <c r="J7" s="1019"/>
      <c r="K7" s="1016"/>
      <c r="L7" s="1020"/>
      <c r="M7" s="1021"/>
    </row>
    <row r="8" spans="1:13" s="49" customFormat="1" ht="15.75" customHeight="1">
      <c r="A8" s="218" t="s">
        <v>907</v>
      </c>
      <c r="B8" s="209"/>
      <c r="C8" s="209"/>
      <c r="D8" s="210"/>
      <c r="E8" s="535" t="s">
        <v>36</v>
      </c>
      <c r="F8" s="535" t="s">
        <v>30</v>
      </c>
      <c r="G8" s="536" t="s">
        <v>31</v>
      </c>
      <c r="H8" s="1026" t="s">
        <v>37</v>
      </c>
      <c r="I8" s="882" t="s">
        <v>906</v>
      </c>
      <c r="J8" s="254"/>
      <c r="K8" s="254"/>
      <c r="L8" s="254"/>
      <c r="M8" s="254"/>
    </row>
    <row r="9" spans="1:13" s="49" customFormat="1" ht="15.75" customHeight="1">
      <c r="A9" s="883" t="s">
        <v>747</v>
      </c>
      <c r="B9" s="1027"/>
      <c r="C9" s="1028"/>
      <c r="D9" s="221"/>
      <c r="E9" s="690" t="s">
        <v>316</v>
      </c>
      <c r="F9" s="81">
        <v>0.51</v>
      </c>
      <c r="G9" s="537">
        <f>IF(AND(D$24="OMOTAČ",F$24="POPREČNO"),POPRECNO!F14,F9)</f>
        <v>0.51</v>
      </c>
      <c r="H9" s="883" t="s">
        <v>914</v>
      </c>
      <c r="I9" s="1027"/>
      <c r="J9" s="1028"/>
      <c r="K9" s="255"/>
      <c r="L9" s="690" t="s">
        <v>609</v>
      </c>
      <c r="M9" s="307">
        <f>IF(D24="REGISTAR",IF(F30&gt;4000,50*G11,0.06*G11*F30),"")</f>
      </c>
    </row>
    <row r="10" spans="1:13" s="49" customFormat="1" ht="15.75" customHeight="1">
      <c r="A10" s="938" t="s">
        <v>908</v>
      </c>
      <c r="B10" s="1029"/>
      <c r="C10" s="1029"/>
      <c r="D10" s="95" t="s">
        <v>170</v>
      </c>
      <c r="E10" s="682" t="s">
        <v>317</v>
      </c>
      <c r="F10" s="81">
        <v>0.018</v>
      </c>
      <c r="G10" s="537">
        <f>IF(AND(D$24="OMOTAČ",F$24="POPREČNO"),POPRECNO!F15,F10)</f>
        <v>0.018</v>
      </c>
      <c r="H10" s="884" t="s">
        <v>915</v>
      </c>
      <c r="I10" s="899"/>
      <c r="J10" s="1044"/>
      <c r="K10" s="237"/>
      <c r="L10" s="682" t="s">
        <v>610</v>
      </c>
      <c r="M10" s="216">
        <f>IF(M9="","",M9/(F30*G11))</f>
      </c>
    </row>
    <row r="11" spans="1:13" s="49" customFormat="1" ht="15.75" customHeight="1">
      <c r="A11" s="885" t="s">
        <v>777</v>
      </c>
      <c r="B11" s="1030"/>
      <c r="C11" s="1031"/>
      <c r="D11" s="232"/>
      <c r="E11" s="682" t="s">
        <v>606</v>
      </c>
      <c r="F11" s="81">
        <v>0.016</v>
      </c>
      <c r="G11" s="537">
        <f>IF(AND(D$24="OMOTAČ",F$24="POPREČNO"),POPRECNO!F16,F11)</f>
        <v>0.016</v>
      </c>
      <c r="H11" s="885" t="s">
        <v>176</v>
      </c>
      <c r="I11" s="1030"/>
      <c r="J11" s="1031"/>
      <c r="K11" s="239"/>
      <c r="L11" s="721" t="s">
        <v>611</v>
      </c>
      <c r="M11" s="216">
        <f>IF(M9="","",(24.75*M10^0.5+(1.25*M10^2+64*M10^3)*10^4)*G11/(M9*(1.8+M10^2*10^4)))</f>
      </c>
    </row>
    <row r="12" spans="1:13" s="49" customFormat="1" ht="15.75" customHeight="1">
      <c r="A12" s="883" t="s">
        <v>97</v>
      </c>
      <c r="B12" s="1027"/>
      <c r="C12" s="1028"/>
      <c r="D12" s="255"/>
      <c r="E12" s="682" t="s">
        <v>524</v>
      </c>
      <c r="F12" s="81">
        <v>6</v>
      </c>
      <c r="G12" s="537">
        <f>IF(AND(D$24="OMOTAČ",F$24="POPREČNO"),POPRECNO!F22,F12)</f>
        <v>6</v>
      </c>
      <c r="H12" s="883" t="s">
        <v>178</v>
      </c>
      <c r="I12" s="1027"/>
      <c r="J12" s="1028"/>
      <c r="K12" s="538"/>
      <c r="L12" s="723" t="s">
        <v>612</v>
      </c>
      <c r="M12" s="216">
        <f>IF(F24="POPRE^NO","",IF(F30&lt;2300,64/F30,(1.82*LOG(F30)-1.64)^-2))</f>
        <v>0.04280102232846743</v>
      </c>
    </row>
    <row r="13" spans="1:13" s="49" customFormat="1" ht="15.75" customHeight="1">
      <c r="A13" s="885" t="s">
        <v>741</v>
      </c>
      <c r="B13" s="1030"/>
      <c r="C13" s="1031"/>
      <c r="D13" s="239"/>
      <c r="E13" s="682" t="s">
        <v>525</v>
      </c>
      <c r="F13" s="81">
        <v>2</v>
      </c>
      <c r="G13" s="537">
        <f>IF(AND(D$24="OMOTAČ",F$24="POPREČNO"),POPRECNO!F23,F13)</f>
        <v>2</v>
      </c>
      <c r="H13" s="884" t="s">
        <v>179</v>
      </c>
      <c r="I13" s="899"/>
      <c r="J13" s="1044"/>
      <c r="K13" s="539"/>
      <c r="L13" s="728" t="s">
        <v>613</v>
      </c>
      <c r="M13" s="229">
        <f>IF(M9="","",IF(D22="U cev",G12/2,1)*IF(M11&gt;M12,M11,0)*(M9/G11)*G21*F29^2/2000)</f>
      </c>
    </row>
    <row r="14" spans="1:13" s="49" customFormat="1" ht="15.75" customHeight="1">
      <c r="A14" s="886" t="s">
        <v>743</v>
      </c>
      <c r="B14" s="1030"/>
      <c r="C14" s="1031"/>
      <c r="D14" s="244"/>
      <c r="E14" s="722" t="s">
        <v>312</v>
      </c>
      <c r="F14" s="81">
        <v>304</v>
      </c>
      <c r="G14" s="537">
        <f>IF(AND(D$24="OMOTAČ",F$24="POPREČNO"),POPRECNO!F24,F14)</f>
        <v>304</v>
      </c>
      <c r="H14" s="884" t="s">
        <v>916</v>
      </c>
      <c r="I14" s="899"/>
      <c r="J14" s="1044"/>
      <c r="K14" s="539"/>
      <c r="L14" s="722" t="s">
        <v>614</v>
      </c>
      <c r="M14" s="216">
        <f>IF(F24="POPREČNO","",IF(D24="REGISTAR",G12*(G16-IF(M11&gt;M12,M9,0)+G17*PI()/2),G13*(G16+IF(D10="U cev",G17,0)*PI()/2)))</f>
        <v>5.944557458900781</v>
      </c>
    </row>
    <row r="15" spans="1:13" s="73" customFormat="1" ht="15.75" customHeight="1">
      <c r="A15" s="883" t="s">
        <v>112</v>
      </c>
      <c r="B15" s="1027"/>
      <c r="C15" s="1028"/>
      <c r="D15" s="221"/>
      <c r="E15" s="721" t="s">
        <v>428</v>
      </c>
      <c r="F15" s="81">
        <v>0.003</v>
      </c>
      <c r="G15" s="537">
        <f>IF(AND(D$24="OMOTAČ",F$24="POPREČNO"),POPRECNO!F29,F15)</f>
        <v>0.003</v>
      </c>
      <c r="H15" s="885" t="s">
        <v>917</v>
      </c>
      <c r="I15" s="1030"/>
      <c r="J15" s="1031"/>
      <c r="K15" s="244"/>
      <c r="L15" s="728" t="s">
        <v>615</v>
      </c>
      <c r="M15" s="229">
        <f>IF(F24="POPREČNO","",M12*(M14/IF(D24="REGISTAR",G11,F28))*G21*F29^2/2000)</f>
        <v>0.006650991634251985</v>
      </c>
    </row>
    <row r="16" spans="1:86" s="75" customFormat="1" ht="15.75" customHeight="1">
      <c r="A16" s="883" t="s">
        <v>778</v>
      </c>
      <c r="B16" s="1027"/>
      <c r="C16" s="1028"/>
      <c r="D16" s="255"/>
      <c r="E16" s="690" t="s">
        <v>607</v>
      </c>
      <c r="F16" s="81">
        <v>2.6</v>
      </c>
      <c r="G16" s="537">
        <f>IF(AND(D$24="OMOTAČ",F$24="POPREČNO"),POPRECNO!F32,F16)</f>
        <v>2.6</v>
      </c>
      <c r="H16" s="888" t="s">
        <v>177</v>
      </c>
      <c r="I16" s="1040"/>
      <c r="J16" s="1041"/>
      <c r="K16" s="238"/>
      <c r="L16" s="728" t="s">
        <v>616</v>
      </c>
      <c r="M16" s="229">
        <f>IF(F24="POPREČNO","",IF(D24="REGISTAR",G12/2,IF(G13=1,0,G13/2))*0.5*G21*F29^2/2000)</f>
        <v>0.0003308775481766821</v>
      </c>
      <c r="N16" s="77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</row>
    <row r="17" spans="1:86" s="75" customFormat="1" ht="15.75" customHeight="1">
      <c r="A17" s="939" t="s">
        <v>779</v>
      </c>
      <c r="B17" s="1032"/>
      <c r="C17" s="1032"/>
      <c r="D17" s="232"/>
      <c r="E17" s="722" t="s">
        <v>608</v>
      </c>
      <c r="F17" s="32">
        <v>0.237</v>
      </c>
      <c r="G17" s="537">
        <f>IF(AND(D$24="OMOTAČ",F$24="POPREČNO"),POPRECNO!F33,F17)</f>
        <v>0.237</v>
      </c>
      <c r="H17" s="883" t="s">
        <v>918</v>
      </c>
      <c r="I17" s="1042"/>
      <c r="J17" s="274"/>
      <c r="K17" s="1043"/>
      <c r="L17" s="241"/>
      <c r="M17" s="1009"/>
      <c r="N17" s="77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</row>
    <row r="18" spans="1:85" s="75" customFormat="1" ht="15.75" customHeight="1">
      <c r="A18" s="1016" t="s">
        <v>102</v>
      </c>
      <c r="B18" s="1017" t="s">
        <v>29</v>
      </c>
      <c r="C18" s="1022"/>
      <c r="D18" s="1022"/>
      <c r="E18" s="1022"/>
      <c r="F18" s="1022"/>
      <c r="G18" s="1023"/>
      <c r="H18" s="885" t="s">
        <v>180</v>
      </c>
      <c r="I18" s="1030"/>
      <c r="J18" s="1031"/>
      <c r="K18" s="239"/>
      <c r="L18" s="728" t="s">
        <v>468</v>
      </c>
      <c r="M18" s="229">
        <f>IF(F24="POPRE^NO","",IF(M13="",0,M13)+M15+M16)</f>
        <v>0.006981869182428668</v>
      </c>
      <c r="N18" s="77"/>
      <c r="O18" s="85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</row>
    <row r="19" spans="1:86" s="75" customFormat="1" ht="15.75" customHeight="1">
      <c r="A19" s="888" t="s">
        <v>172</v>
      </c>
      <c r="B19" s="209"/>
      <c r="C19" s="214"/>
      <c r="D19" s="137" t="s">
        <v>66</v>
      </c>
      <c r="E19" s="138" t="s">
        <v>67</v>
      </c>
      <c r="F19" s="1033" t="s">
        <v>30</v>
      </c>
      <c r="G19" s="1034" t="s">
        <v>31</v>
      </c>
      <c r="H19" s="242"/>
      <c r="I19" s="242"/>
      <c r="J19" s="242"/>
      <c r="K19" s="242"/>
      <c r="L19" s="242"/>
      <c r="M19" s="272"/>
      <c r="N19" s="77"/>
      <c r="P19" s="86"/>
      <c r="Q19" s="87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</row>
    <row r="20" spans="1:14" s="75" customFormat="1" ht="15.75" customHeight="1">
      <c r="A20" s="935" t="s">
        <v>106</v>
      </c>
      <c r="B20" s="213"/>
      <c r="C20" s="213"/>
      <c r="D20" s="214"/>
      <c r="E20" s="801" t="s">
        <v>617</v>
      </c>
      <c r="F20" s="81">
        <v>112.5</v>
      </c>
      <c r="G20" s="537">
        <f>IF(AND(D24="OMOTAČ",F24="POPREČNO"),POPRECNO!E10,F20)</f>
        <v>112.5</v>
      </c>
      <c r="H20" s="1016" t="s">
        <v>38</v>
      </c>
      <c r="I20" s="1017" t="s">
        <v>905</v>
      </c>
      <c r="J20" s="1018"/>
      <c r="K20" s="1018"/>
      <c r="L20" s="1018"/>
      <c r="M20" s="1018"/>
      <c r="N20" s="77"/>
    </row>
    <row r="21" spans="1:15" s="75" customFormat="1" ht="15.75" customHeight="1">
      <c r="A21" s="936" t="s">
        <v>806</v>
      </c>
      <c r="B21" s="213"/>
      <c r="C21" s="213"/>
      <c r="D21" s="214"/>
      <c r="E21" s="803" t="s">
        <v>173</v>
      </c>
      <c r="F21" s="81">
        <v>949.2</v>
      </c>
      <c r="G21" s="537">
        <f>IF(AND(D24="OMOTAČ",F24="POPREČNO"),POPRECNO!E11,F21)</f>
        <v>949.2</v>
      </c>
      <c r="H21" s="922"/>
      <c r="I21" s="1018" t="s">
        <v>32</v>
      </c>
      <c r="J21" s="1024"/>
      <c r="K21" s="1025" t="str">
        <f>POPRECNO!K82</f>
        <v>GADDIS</v>
      </c>
      <c r="L21" s="1025"/>
      <c r="M21" s="922"/>
      <c r="O21" s="82"/>
    </row>
    <row r="22" spans="1:17" s="75" customFormat="1" ht="15.75" customHeight="1">
      <c r="A22" s="936" t="s">
        <v>807</v>
      </c>
      <c r="B22" s="213"/>
      <c r="C22" s="213"/>
      <c r="D22" s="214"/>
      <c r="E22" s="803" t="s">
        <v>622</v>
      </c>
      <c r="F22" s="81">
        <f>2.622*10^-7</f>
        <v>2.6219999999999995E-07</v>
      </c>
      <c r="G22" s="537">
        <f>IF(AND(D24="OMOTAĆ",F24="POPREČNO"),POPRECNO!E12,F22)</f>
        <v>2.6219999999999995E-07</v>
      </c>
      <c r="H22" s="888" t="s">
        <v>841</v>
      </c>
      <c r="I22" s="1040"/>
      <c r="J22" s="1041"/>
      <c r="K22" s="238"/>
      <c r="L22" s="728" t="s">
        <v>465</v>
      </c>
      <c r="M22" s="537">
        <f>IF(AND(D24="OMOTAČ",F24="POPREČNO"),POPRECNO!M83,"")</f>
      </c>
      <c r="P22" s="83"/>
      <c r="Q22" s="84"/>
    </row>
    <row r="23" spans="1:16" s="75" customFormat="1" ht="15.75" customHeight="1">
      <c r="A23" s="938" t="s">
        <v>174</v>
      </c>
      <c r="B23" s="540"/>
      <c r="C23" s="540"/>
      <c r="D23" s="214"/>
      <c r="E23" s="804" t="s">
        <v>623</v>
      </c>
      <c r="F23" s="81">
        <v>8000</v>
      </c>
      <c r="G23" s="537">
        <f>IF(AND(D24="OMOTAČ",F24="POPREČNO"),POPRECNO!L11,F23)</f>
        <v>8000</v>
      </c>
      <c r="H23" s="885" t="s">
        <v>187</v>
      </c>
      <c r="I23" s="1030"/>
      <c r="J23" s="1031"/>
      <c r="K23" s="239"/>
      <c r="L23" s="728" t="s">
        <v>466</v>
      </c>
      <c r="M23" s="537">
        <f>IF(AND(D24="OMOTAČ",F24="POPREČNO"),POPRECNO!M84,"")</f>
      </c>
      <c r="O23" s="90"/>
      <c r="P23" s="91"/>
    </row>
    <row r="24" spans="1:13" s="75" customFormat="1" ht="15.75" customHeight="1">
      <c r="A24" s="1035" t="s">
        <v>175</v>
      </c>
      <c r="B24" s="213"/>
      <c r="C24" s="214"/>
      <c r="D24" s="1036" t="s">
        <v>909</v>
      </c>
      <c r="E24" s="541"/>
      <c r="F24" s="1037" t="s">
        <v>910</v>
      </c>
      <c r="G24" s="542"/>
      <c r="H24" s="888" t="s">
        <v>843</v>
      </c>
      <c r="I24" s="1040"/>
      <c r="J24" s="1041"/>
      <c r="K24" s="238"/>
      <c r="L24" s="728" t="s">
        <v>467</v>
      </c>
      <c r="M24" s="537">
        <f>IF(AND(D24="OMOTAČ",F24="POPREČNO"),POPRECNO!M85,"")</f>
      </c>
    </row>
    <row r="25" spans="1:16" s="75" customFormat="1" ht="15.75" customHeight="1">
      <c r="A25" s="1016" t="s">
        <v>113</v>
      </c>
      <c r="B25" s="1017" t="s">
        <v>919</v>
      </c>
      <c r="C25" s="1018"/>
      <c r="D25" s="1018"/>
      <c r="E25" s="1018"/>
      <c r="F25" s="1018"/>
      <c r="G25" s="242"/>
      <c r="H25" s="888" t="s">
        <v>177</v>
      </c>
      <c r="I25" s="1040"/>
      <c r="J25" s="1041"/>
      <c r="K25" s="238"/>
      <c r="L25" s="728" t="s">
        <v>616</v>
      </c>
      <c r="M25" s="216">
        <f>IF(AND(D24="OMOTAČ",F24="POPREČNO"),IF(G13=1,0,G13/2)*0.5*G21*F29^2/2000,"")</f>
      </c>
      <c r="O25" s="92"/>
      <c r="P25" s="93"/>
    </row>
    <row r="26" spans="1:15" s="75" customFormat="1" ht="15.75" customHeight="1">
      <c r="A26" s="938" t="s">
        <v>780</v>
      </c>
      <c r="B26" s="1029"/>
      <c r="C26" s="1029"/>
      <c r="D26" s="255"/>
      <c r="E26" s="682" t="s">
        <v>624</v>
      </c>
      <c r="F26" s="216">
        <f>G14*G11^2*PI()/4</f>
        <v>0.06112282666824301</v>
      </c>
      <c r="G26" s="242"/>
      <c r="H26" s="883" t="s">
        <v>844</v>
      </c>
      <c r="I26" s="1042"/>
      <c r="J26" s="274"/>
      <c r="K26" s="1043"/>
      <c r="L26" s="241"/>
      <c r="M26" s="1009"/>
      <c r="O26" s="90"/>
    </row>
    <row r="27" spans="1:13" s="75" customFormat="1" ht="15.75" customHeight="1">
      <c r="A27" s="885" t="s">
        <v>781</v>
      </c>
      <c r="B27" s="1030"/>
      <c r="C27" s="1031"/>
      <c r="D27" s="239"/>
      <c r="E27" s="682" t="s">
        <v>625</v>
      </c>
      <c r="F27" s="216">
        <f>PI()*(G9^2-G14*G10^2)/4-IF(G13=1,0,G9*G15*G13/2)</f>
        <v>0.12539348479768125</v>
      </c>
      <c r="G27" s="243"/>
      <c r="H27" s="885" t="s">
        <v>191</v>
      </c>
      <c r="I27" s="1030"/>
      <c r="J27" s="1031"/>
      <c r="K27" s="239"/>
      <c r="L27" s="728" t="s">
        <v>468</v>
      </c>
      <c r="M27" s="229">
        <f>IF(AND(D24="OMOTAČ",F24="POPREČNO"),M22+M23+M24+M25,"")</f>
      </c>
    </row>
    <row r="28" spans="1:13" s="75" customFormat="1" ht="15.75" customHeight="1">
      <c r="A28" s="936" t="s">
        <v>782</v>
      </c>
      <c r="B28" s="1038"/>
      <c r="C28" s="1038"/>
      <c r="D28" s="238"/>
      <c r="E28" s="682" t="s">
        <v>626</v>
      </c>
      <c r="F28" s="229">
        <f>4*F27/((G9+G14*G10)*PI()+IF(G13=1,0,G13*G9))</f>
        <v>0.025315386643043863</v>
      </c>
      <c r="G28" s="243"/>
      <c r="H28" s="1009"/>
      <c r="I28" s="1009"/>
      <c r="J28" s="1009"/>
      <c r="K28" s="1009"/>
      <c r="L28" s="241"/>
      <c r="M28" s="1009"/>
    </row>
    <row r="29" spans="1:13" s="75" customFormat="1" ht="15.75" customHeight="1">
      <c r="A29" s="936" t="s">
        <v>912</v>
      </c>
      <c r="B29" s="1038"/>
      <c r="C29" s="1038"/>
      <c r="D29" s="238"/>
      <c r="E29" s="719" t="s">
        <v>627</v>
      </c>
      <c r="F29" s="229">
        <f>G23/(3600*G21)*IF(D24="REGISTAR",G12/F26,G13/F27)</f>
        <v>0.03734089992646814</v>
      </c>
      <c r="G29" s="242"/>
      <c r="H29" s="1016" t="s">
        <v>39</v>
      </c>
      <c r="I29" s="1017" t="s">
        <v>40</v>
      </c>
      <c r="J29" s="1018"/>
      <c r="K29" s="1018"/>
      <c r="L29" s="1018"/>
      <c r="M29" s="1018"/>
    </row>
    <row r="30" spans="1:13" s="75" customFormat="1" ht="15.75" customHeight="1">
      <c r="A30" s="936" t="s">
        <v>913</v>
      </c>
      <c r="B30" s="1038"/>
      <c r="C30" s="1038"/>
      <c r="D30" s="238"/>
      <c r="E30" s="720" t="s">
        <v>628</v>
      </c>
      <c r="F30" s="229">
        <f>F29*IF(D24="REGISTAR",G11,F28)/G22</f>
        <v>3605.2605615474804</v>
      </c>
      <c r="G30" s="242"/>
      <c r="H30" s="1045" t="s">
        <v>41</v>
      </c>
      <c r="I30" s="1046"/>
      <c r="J30" s="1047"/>
      <c r="K30" s="1048"/>
      <c r="L30" s="800" t="s">
        <v>618</v>
      </c>
      <c r="M30" s="229">
        <f>IF(AND(D24="REGISTAR",F24="POPREČNO"),"",IF(D24="OMOTAČ","",2*0.5+(G12-2)*2.5+G12*1.5/2))</f>
      </c>
    </row>
    <row r="31" spans="1:13" s="75" customFormat="1" ht="15.75" customHeight="1">
      <c r="A31" s="1039" t="s">
        <v>911</v>
      </c>
      <c r="B31" s="543"/>
      <c r="C31" s="543"/>
      <c r="D31" s="543"/>
      <c r="E31" s="802"/>
      <c r="F31" s="544"/>
      <c r="G31" s="242"/>
      <c r="H31" s="1045" t="s">
        <v>42</v>
      </c>
      <c r="I31" s="1046"/>
      <c r="J31" s="1047"/>
      <c r="K31" s="1048"/>
      <c r="L31" s="728" t="s">
        <v>619</v>
      </c>
      <c r="M31" s="229">
        <f>IF(AND(D24="REGISTAR",F24="POPREČNO"),"",IF(D24="OMOTAČ","",M30*G21*F29^2/2000))</f>
      </c>
    </row>
    <row r="32" spans="1:15" s="75" customFormat="1" ht="15.75" customHeight="1">
      <c r="A32" s="208" t="s">
        <v>181</v>
      </c>
      <c r="B32" s="222"/>
      <c r="C32" s="223"/>
      <c r="D32" s="238"/>
      <c r="E32" s="720" t="s">
        <v>628</v>
      </c>
      <c r="F32" s="139">
        <f>F36</f>
        <v>195769.7764605429</v>
      </c>
      <c r="G32" s="242"/>
      <c r="H32" s="241"/>
      <c r="I32" s="241"/>
      <c r="J32" s="241"/>
      <c r="K32" s="241"/>
      <c r="L32" s="241"/>
      <c r="M32" s="1009"/>
      <c r="N32" s="80"/>
      <c r="O32" s="94"/>
    </row>
    <row r="33" spans="1:13" s="75" customFormat="1" ht="15.75" customHeight="1">
      <c r="A33" s="208" t="s">
        <v>81</v>
      </c>
      <c r="B33" s="222"/>
      <c r="C33" s="223"/>
      <c r="D33" s="238"/>
      <c r="E33" s="723" t="s">
        <v>629</v>
      </c>
      <c r="F33" s="216">
        <f>(1.82*LOG(F32)-1.64)^-2</f>
        <v>0.015660305524209463</v>
      </c>
      <c r="G33" s="242"/>
      <c r="H33" s="1016" t="s">
        <v>43</v>
      </c>
      <c r="I33" s="1017" t="s">
        <v>921</v>
      </c>
      <c r="J33" s="1018"/>
      <c r="K33" s="1018"/>
      <c r="L33" s="1018"/>
      <c r="M33" s="1018"/>
    </row>
    <row r="34" spans="1:13" s="74" customFormat="1" ht="15.75" customHeight="1">
      <c r="A34" s="208" t="s">
        <v>920</v>
      </c>
      <c r="B34" s="222"/>
      <c r="C34" s="223"/>
      <c r="D34" s="238"/>
      <c r="E34" s="682" t="s">
        <v>630</v>
      </c>
      <c r="F34" s="216">
        <f>(8*F33*(G23/(3600*G21))^2*G21/(PI()^2*100))^0.2</f>
        <v>0.058071299285436286</v>
      </c>
      <c r="G34" s="241"/>
      <c r="H34" s="888" t="s">
        <v>42</v>
      </c>
      <c r="I34" s="222"/>
      <c r="J34" s="223"/>
      <c r="K34" s="238"/>
      <c r="L34" s="728" t="s">
        <v>620</v>
      </c>
      <c r="M34" s="229">
        <f>IF(AND(D24="REGISTAR",F24="POPREČNO"),"",(1.5+1*F33/F34)*G21*F35^2/2000)</f>
        <v>0.6562276469861639</v>
      </c>
    </row>
    <row r="35" spans="1:13" s="74" customFormat="1" ht="15.75" customHeight="1">
      <c r="A35" s="212" t="s">
        <v>862</v>
      </c>
      <c r="B35" s="209"/>
      <c r="C35" s="209"/>
      <c r="D35" s="228"/>
      <c r="E35" s="723" t="s">
        <v>631</v>
      </c>
      <c r="F35" s="229">
        <f>4*(G23/(3600*G21))/(PI()*F34^2)</f>
        <v>0.8839277925511753</v>
      </c>
      <c r="G35" s="241"/>
      <c r="H35" s="241"/>
      <c r="I35" s="241"/>
      <c r="J35" s="241"/>
      <c r="K35" s="241"/>
      <c r="L35" s="241"/>
      <c r="M35" s="1009"/>
    </row>
    <row r="36" spans="1:13" s="74" customFormat="1" ht="15.75" customHeight="1">
      <c r="A36" s="208" t="s">
        <v>863</v>
      </c>
      <c r="B36" s="222"/>
      <c r="C36" s="223"/>
      <c r="D36" s="238"/>
      <c r="E36" s="720" t="s">
        <v>628</v>
      </c>
      <c r="F36" s="216">
        <f>F34*F35/G22</f>
        <v>195769.7764605429</v>
      </c>
      <c r="G36" s="241"/>
      <c r="H36" s="202" t="s">
        <v>44</v>
      </c>
      <c r="I36" s="203" t="s">
        <v>46</v>
      </c>
      <c r="J36" s="534"/>
      <c r="K36" s="534"/>
      <c r="L36" s="1050" t="s">
        <v>923</v>
      </c>
      <c r="M36" s="81">
        <v>1.2</v>
      </c>
    </row>
    <row r="37" spans="1:13" s="74" customFormat="1" ht="15.75" customHeight="1">
      <c r="A37" s="208" t="s">
        <v>864</v>
      </c>
      <c r="B37" s="222"/>
      <c r="C37" s="223"/>
      <c r="D37" s="238"/>
      <c r="E37" s="725" t="s">
        <v>182</v>
      </c>
      <c r="F37" s="252">
        <f>IF(F34&lt;0.025,25,IF(F34&lt;0.032,32,IF(F34&lt;0.04,40,IF(F34&lt;0.05,50,IF(F34&lt;0.065,65,IF(F34&lt;0.08,80,IF(F34&lt;0.1,100,IF(F34&lt;0.125,125,150))))))))</f>
        <v>65</v>
      </c>
      <c r="G37" s="241"/>
      <c r="H37" s="888" t="s">
        <v>45</v>
      </c>
      <c r="I37" s="222"/>
      <c r="J37" s="223"/>
      <c r="K37" s="238"/>
      <c r="L37" s="728" t="s">
        <v>621</v>
      </c>
      <c r="M37" s="229">
        <f>ROUND(M36*(IF(M18="",0,M18)+IF(M27="",0,M27)+IF(M31="",0,M31)+IF(M34="",0,M34)),2)</f>
        <v>0.8</v>
      </c>
    </row>
    <row r="38" s="74" customFormat="1" ht="15.75" customHeight="1"/>
    <row r="39" spans="2:7" s="74" customFormat="1" ht="15.75" customHeight="1">
      <c r="B39" s="980" t="s">
        <v>685</v>
      </c>
      <c r="G39" s="98"/>
    </row>
    <row r="40" spans="2:7" s="74" customFormat="1" ht="15.75" customHeight="1">
      <c r="B40" s="980" t="s">
        <v>922</v>
      </c>
      <c r="G40" s="98"/>
    </row>
    <row r="41" s="75" customFormat="1" ht="15.75" customHeight="1">
      <c r="G41" s="98"/>
    </row>
    <row r="42" s="75" customFormat="1" ht="15.75" customHeight="1">
      <c r="G42" s="98"/>
    </row>
    <row r="43" s="75" customFormat="1" ht="15.75" customHeight="1">
      <c r="G43" s="98"/>
    </row>
    <row r="44" s="75" customFormat="1" ht="15.75" customHeight="1">
      <c r="G44" s="98"/>
    </row>
    <row r="45" spans="1:7" s="75" customFormat="1" ht="15.75" customHeight="1">
      <c r="A45" s="74"/>
      <c r="B45" s="74"/>
      <c r="C45" s="74"/>
      <c r="D45" s="74"/>
      <c r="E45" s="74"/>
      <c r="F45" s="74"/>
      <c r="G45" s="74"/>
    </row>
    <row r="46" s="75" customFormat="1" ht="15.75" customHeight="1"/>
    <row r="47" s="75" customFormat="1" ht="15.75" customHeight="1"/>
    <row r="48" s="75" customFormat="1" ht="15.75" customHeight="1"/>
    <row r="49" s="75" customFormat="1" ht="15.75" customHeight="1"/>
    <row r="50" s="75" customFormat="1" ht="15.75" customHeight="1"/>
    <row r="51" s="75" customFormat="1" ht="15.75" customHeight="1"/>
    <row r="52" s="75" customFormat="1" ht="15.75" customHeight="1"/>
    <row r="53" s="75" customFormat="1" ht="15.75" customHeight="1"/>
    <row r="54" s="75" customFormat="1" ht="15.75" customHeight="1"/>
    <row r="55" s="75" customFormat="1" ht="15.75" customHeight="1"/>
    <row r="56" s="75" customFormat="1" ht="15.75" customHeight="1"/>
    <row r="57" s="75" customFormat="1" ht="15.75" customHeight="1"/>
    <row r="58" spans="1:13" ht="15" customHeight="1">
      <c r="A58" s="78"/>
      <c r="B58" s="77"/>
      <c r="C58" s="79"/>
      <c r="D58" s="74"/>
      <c r="E58" s="74"/>
      <c r="F58" s="74"/>
      <c r="G58" s="75"/>
      <c r="H58" s="75"/>
      <c r="I58" s="75"/>
      <c r="J58" s="75"/>
      <c r="K58" s="75"/>
      <c r="L58" s="75"/>
      <c r="M58" s="75"/>
    </row>
    <row r="59" spans="5:13" ht="15" customHeight="1">
      <c r="E59" s="34"/>
      <c r="G59" s="75"/>
      <c r="H59" s="75"/>
      <c r="I59" s="75"/>
      <c r="J59" s="75"/>
      <c r="K59" s="75"/>
      <c r="L59" s="75"/>
      <c r="M59" s="75"/>
    </row>
    <row r="60" spans="5:13" ht="15" customHeight="1">
      <c r="E60" s="34"/>
      <c r="G60" s="75"/>
      <c r="H60" s="75"/>
      <c r="I60" s="75"/>
      <c r="J60" s="75"/>
      <c r="K60" s="75"/>
      <c r="L60" s="75"/>
      <c r="M60" s="75"/>
    </row>
    <row r="61" spans="1:13" ht="12.75">
      <c r="A61" s="75"/>
      <c r="B61" s="75"/>
      <c r="C61" s="75"/>
      <c r="D61" s="75"/>
      <c r="E61" s="76"/>
      <c r="F61" s="75"/>
      <c r="G61" s="75"/>
      <c r="H61" s="75"/>
      <c r="I61" s="75"/>
      <c r="J61" s="75"/>
      <c r="K61" s="75"/>
      <c r="L61" s="75"/>
      <c r="M61" s="75"/>
    </row>
  </sheetData>
  <sheetProtection password="C784" sheet="1" objects="1" scenarios="1"/>
  <dataValidations count="12">
    <dataValidation type="list" allowBlank="1" showInputMessage="1" showErrorMessage="1" promptTitle="SPOLJNJI PRECNIK CEVI" prompt="Uneti precnik cevi iz menija" sqref="F10">
      <formula1>"0,01,0,016,0,018,0,022,0,025"</formula1>
    </dataValidation>
    <dataValidation type="list" allowBlank="1" showInputMessage="1" showErrorMessage="1" promptTitle="BROJ PROLAZA FLUIDA U REGISTRU" prompt="Za U cev zr=2 ili vece&#10;Uneti vrednost iz menija" sqref="F12">
      <formula1>"1,2,4,6,8"</formula1>
    </dataValidation>
    <dataValidation type="list" allowBlank="1" showInputMessage="1" showErrorMessage="1" prompt="Lokacija fluida u aparatu" sqref="D24">
      <formula1>"REGISTAR,OMOTAČ"</formula1>
    </dataValidation>
    <dataValidation type="list" allowBlank="1" showInputMessage="1" showErrorMessage="1" promptTitle="KONSTRUKCIJA CEVI REGISTRA" prompt="Pri zr=1, ne moze U cev" sqref="D10">
      <formula1>"U cev,Prava"</formula1>
    </dataValidation>
    <dataValidation type="list" allowBlank="1" showInputMessage="1" showErrorMessage="1" promptTitle="BROJ PROLAZA FLUIDA U OMOTACU" prompt="Za pravu cev mora biti zo=1&#10;Uneti vrednost iz menija" sqref="F13">
      <formula1>"1,2,4"</formula1>
    </dataValidation>
    <dataValidation type="list" allowBlank="1" showInputMessage="1" showErrorMessage="1" prompt="U registru ne moze biti &#10;POPRECNO STRUJANJE" sqref="F24">
      <formula1>"POPREČNO,UZDUŽNO"</formula1>
    </dataValidation>
    <dataValidation allowBlank="1" showInputMessage="1" showErrorMessage="1" prompt="Podaci iz geometrije aparata" sqref="F14:F17 F9 F11"/>
    <dataValidation allowBlank="1" showInputMessage="1" showErrorMessage="1" prompt="Naziv radnog fluida" sqref="D19:E19"/>
    <dataValidation allowBlank="1" showInputMessage="1" showErrorMessage="1" prompt="Podaci iz rezima rada aparata" sqref="F20:F23"/>
    <dataValidation allowBlank="1" showInputMessage="1" showErrorMessage="1" promptTitle="ITERACIJE" prompt="Ako excel padne predpostaviti broj a zatim umeti =f36" sqref="F32"/>
    <dataValidation allowBlank="1" showInputMessage="1" showErrorMessage="1" prompt="Koeficijen tza sigurnosno povecanje ukupnpog pada pritiska u aparatu" sqref="M36"/>
    <dataValidation allowBlank="1" showInputMessage="1" showErrorMessage="1" promptTitle="Vrednosti iz lista POPRECNO" prompt="U zavisnosti od postupka proracuna pada pritiska POPRECNOG STRUJANJA u omotacu prenose se vrednosti iz lista POPRECNO" sqref="K21 M22:M24"/>
  </dataValidations>
  <printOptions/>
  <pageMargins left="0.7" right="0.2" top="0.7" bottom="0.7" header="0.3" footer="0.3"/>
  <pageSetup horizontalDpi="300" verticalDpi="300" orientation="portrait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69"/>
  <sheetViews>
    <sheetView showGridLines="0" workbookViewId="0" topLeftCell="A1">
      <selection activeCell="G12" sqref="G12"/>
    </sheetView>
  </sheetViews>
  <sheetFormatPr defaultColWidth="9.140625" defaultRowHeight="12.75"/>
  <cols>
    <col min="7" max="7" width="10.7109375" style="0" customWidth="1"/>
    <col min="11" max="11" width="10.7109375" style="0" customWidth="1"/>
  </cols>
  <sheetData>
    <row r="1" ht="12.75">
      <c r="L1" s="659" t="str">
        <f>GEOMETRIJA!M1</f>
        <v>ver.: v2, jun 2002.</v>
      </c>
    </row>
    <row r="7" spans="1:12" ht="15.75" customHeight="1">
      <c r="A7" s="1052" t="s">
        <v>64</v>
      </c>
      <c r="B7" s="1053"/>
      <c r="C7" s="1054"/>
      <c r="D7" s="1052"/>
      <c r="E7" s="1055" t="s">
        <v>65</v>
      </c>
      <c r="F7" s="1071" t="s">
        <v>66</v>
      </c>
      <c r="G7" s="1072" t="s">
        <v>67</v>
      </c>
      <c r="H7" s="1073" t="s">
        <v>636</v>
      </c>
      <c r="I7" s="1074">
        <v>600</v>
      </c>
      <c r="J7" s="1071" t="s">
        <v>69</v>
      </c>
      <c r="K7" s="1072" t="s">
        <v>67</v>
      </c>
      <c r="L7" s="1051" t="s">
        <v>68</v>
      </c>
    </row>
    <row r="8" spans="1:12" ht="15.75" customHeight="1">
      <c r="A8" s="1052"/>
      <c r="B8" s="1056" t="s">
        <v>924</v>
      </c>
      <c r="C8" s="1054"/>
      <c r="D8" s="1052"/>
      <c r="E8" s="1057"/>
      <c r="F8" s="805" t="s">
        <v>632</v>
      </c>
      <c r="G8" s="851">
        <v>-15</v>
      </c>
      <c r="I8" s="546"/>
      <c r="J8" s="761" t="s">
        <v>635</v>
      </c>
      <c r="K8" s="851">
        <v>20</v>
      </c>
      <c r="L8" s="547"/>
    </row>
    <row r="9" spans="1:12" ht="15.75" customHeight="1">
      <c r="A9" s="1052"/>
      <c r="B9" s="1056" t="s">
        <v>70</v>
      </c>
      <c r="C9" s="1054"/>
      <c r="D9" s="1052"/>
      <c r="E9" s="1057"/>
      <c r="F9" s="805" t="s">
        <v>633</v>
      </c>
      <c r="G9" s="851">
        <v>150</v>
      </c>
      <c r="J9" s="682" t="s">
        <v>633</v>
      </c>
      <c r="K9" s="851">
        <v>90</v>
      </c>
      <c r="L9" s="547"/>
    </row>
    <row r="10" spans="1:12" ht="15.75" customHeight="1">
      <c r="A10" s="1052"/>
      <c r="B10" s="1056" t="s">
        <v>71</v>
      </c>
      <c r="C10" s="1054"/>
      <c r="D10" s="1052"/>
      <c r="E10" s="1057"/>
      <c r="F10" s="805" t="s">
        <v>634</v>
      </c>
      <c r="G10" s="851">
        <v>75</v>
      </c>
      <c r="J10" s="761" t="s">
        <v>634</v>
      </c>
      <c r="K10" s="851">
        <v>70</v>
      </c>
      <c r="L10" s="547"/>
    </row>
    <row r="11" spans="1:12" ht="15.75" customHeight="1">
      <c r="A11" s="1052"/>
      <c r="B11" s="1056" t="s">
        <v>690</v>
      </c>
      <c r="C11" s="1054"/>
      <c r="D11" s="1052"/>
      <c r="E11" s="1052"/>
      <c r="F11" s="843" t="s">
        <v>686</v>
      </c>
      <c r="G11" s="852">
        <f>G9-G10</f>
        <v>75</v>
      </c>
      <c r="J11" s="857" t="s">
        <v>686</v>
      </c>
      <c r="K11" s="852">
        <f>K9-K10</f>
        <v>20</v>
      </c>
      <c r="L11" s="547"/>
    </row>
    <row r="12" spans="1:14" s="13" customFormat="1" ht="15.75" customHeight="1">
      <c r="A12" s="1052"/>
      <c r="B12" s="1056" t="s">
        <v>72</v>
      </c>
      <c r="C12" s="1054"/>
      <c r="D12" s="1052"/>
      <c r="E12" s="1058"/>
      <c r="F12" s="805" t="s">
        <v>637</v>
      </c>
      <c r="G12" s="340">
        <f>(G9+G10)/2</f>
        <v>112.5</v>
      </c>
      <c r="J12" s="761" t="s">
        <v>637</v>
      </c>
      <c r="K12" s="340">
        <f>(K9+K10)/2</f>
        <v>80</v>
      </c>
      <c r="M12" s="12"/>
      <c r="N12" s="12"/>
    </row>
    <row r="13" spans="1:14" s="13" customFormat="1" ht="15.75" customHeight="1">
      <c r="A13" s="1052"/>
      <c r="B13" s="1056" t="s">
        <v>925</v>
      </c>
      <c r="C13" s="1054"/>
      <c r="D13" s="1052"/>
      <c r="E13" s="1059"/>
      <c r="F13" s="842" t="s">
        <v>638</v>
      </c>
      <c r="G13" s="23">
        <v>4.226</v>
      </c>
      <c r="H13" s="863"/>
      <c r="I13" s="859"/>
      <c r="J13" s="807" t="s">
        <v>638</v>
      </c>
      <c r="K13" s="23">
        <v>4.194</v>
      </c>
      <c r="M13" s="12"/>
      <c r="N13" s="12"/>
    </row>
    <row r="14" spans="1:12" s="13" customFormat="1" ht="15.75" customHeight="1">
      <c r="A14" s="1056"/>
      <c r="B14" s="1056" t="s">
        <v>73</v>
      </c>
      <c r="C14" s="1056"/>
      <c r="D14" s="1052"/>
      <c r="E14" s="1060"/>
      <c r="F14" s="839" t="s">
        <v>639</v>
      </c>
      <c r="G14" s="345">
        <f>G12-K8</f>
        <v>92.5</v>
      </c>
      <c r="I14" s="548"/>
      <c r="J14" s="839" t="s">
        <v>639</v>
      </c>
      <c r="K14" s="345">
        <f>K12-K8</f>
        <v>60</v>
      </c>
      <c r="L14" s="844"/>
    </row>
    <row r="15" spans="1:12" s="13" customFormat="1" ht="15.75" customHeight="1">
      <c r="A15" s="1056"/>
      <c r="B15" s="1056" t="s">
        <v>926</v>
      </c>
      <c r="C15" s="1056"/>
      <c r="D15" s="1052"/>
      <c r="E15" s="1060"/>
      <c r="F15" s="686" t="s">
        <v>640</v>
      </c>
      <c r="G15" s="851"/>
      <c r="H15" s="850">
        <f>IF(G15="",LN(I17)/LN(G24/G14),"")</f>
        <v>1.1682804797631732</v>
      </c>
      <c r="I15" s="722" t="s">
        <v>640</v>
      </c>
      <c r="J15" s="851"/>
      <c r="K15" s="312">
        <f>IF(J15="",LN(I17)/LN(K24/K14),"")</f>
        <v>1.3064184142677286</v>
      </c>
      <c r="L15" s="844"/>
    </row>
    <row r="16" spans="1:12" s="13" customFormat="1" ht="15.75" customHeight="1">
      <c r="A16" s="1061" t="s">
        <v>75</v>
      </c>
      <c r="B16" s="1062"/>
      <c r="C16" s="1063" t="s">
        <v>74</v>
      </c>
      <c r="D16" s="1063"/>
      <c r="E16" s="1064"/>
      <c r="F16" s="219"/>
      <c r="G16" s="219"/>
      <c r="H16" s="805" t="s">
        <v>641</v>
      </c>
      <c r="I16" s="851">
        <v>8</v>
      </c>
      <c r="K16" s="546"/>
      <c r="L16" s="844"/>
    </row>
    <row r="17" spans="1:12" s="13" customFormat="1" ht="15.75" customHeight="1">
      <c r="A17" s="1065" t="s">
        <v>688</v>
      </c>
      <c r="B17" s="1066"/>
      <c r="C17" s="1063" t="s">
        <v>927</v>
      </c>
      <c r="D17" s="1063"/>
      <c r="E17" s="1067"/>
      <c r="F17" s="219"/>
      <c r="G17" s="545"/>
      <c r="H17" s="864" t="s">
        <v>691</v>
      </c>
      <c r="I17" s="345">
        <f>(K8-I16)/(K8-G8)</f>
        <v>0.34285714285714286</v>
      </c>
      <c r="K17" s="844"/>
      <c r="L17" s="844"/>
    </row>
    <row r="18" spans="1:11" s="13" customFormat="1" ht="15.75" customHeight="1">
      <c r="A18" s="1068" t="s">
        <v>689</v>
      </c>
      <c r="B18" s="1069"/>
      <c r="C18" s="1063" t="s">
        <v>928</v>
      </c>
      <c r="D18" s="1063"/>
      <c r="E18" s="1067"/>
      <c r="F18" s="808" t="s">
        <v>642</v>
      </c>
      <c r="G18" s="862">
        <f>G21*G23/(G11*G13)</f>
        <v>0.34285714285714275</v>
      </c>
      <c r="H18" s="858"/>
      <c r="I18" s="859"/>
      <c r="J18" s="809" t="s">
        <v>642</v>
      </c>
      <c r="K18" s="862">
        <f>K21*K23/(K11*K13)</f>
        <v>0.3428571428571431</v>
      </c>
    </row>
    <row r="19" spans="1:12" s="13" customFormat="1" ht="15.75" customHeight="1">
      <c r="A19" s="1052"/>
      <c r="B19" s="1056" t="s">
        <v>70</v>
      </c>
      <c r="C19" s="1054"/>
      <c r="D19" s="1052"/>
      <c r="E19" s="1057"/>
      <c r="F19" s="805" t="s">
        <v>633</v>
      </c>
      <c r="G19" s="851">
        <v>70</v>
      </c>
      <c r="J19" s="761" t="s">
        <v>633</v>
      </c>
      <c r="K19" s="345">
        <f>IF(K20+I17*K11*K13/K23&gt;G19,"SOS",K20+I17*K11*K13/K23)</f>
        <v>49.88505078833066</v>
      </c>
      <c r="L19" s="547"/>
    </row>
    <row r="20" spans="1:12" s="13" customFormat="1" ht="15.75" customHeight="1">
      <c r="A20" s="1052"/>
      <c r="B20" s="1056" t="s">
        <v>71</v>
      </c>
      <c r="C20" s="1054"/>
      <c r="D20" s="1052"/>
      <c r="E20" s="1057"/>
      <c r="F20" s="805" t="s">
        <v>634</v>
      </c>
      <c r="G20" s="345">
        <f>IF(G19-I17*G11*G13/G23&lt;K20,"SOS",G19-I17*G11*G13/G23)</f>
        <v>44.00273410799727</v>
      </c>
      <c r="J20" s="682" t="s">
        <v>634</v>
      </c>
      <c r="K20" s="851">
        <v>43</v>
      </c>
      <c r="L20" s="547"/>
    </row>
    <row r="21" spans="1:12" s="13" customFormat="1" ht="15.75" customHeight="1">
      <c r="A21" s="1052"/>
      <c r="B21" s="1056" t="s">
        <v>690</v>
      </c>
      <c r="C21" s="1054"/>
      <c r="D21" s="1052"/>
      <c r="E21" s="1057"/>
      <c r="F21" s="843" t="s">
        <v>687</v>
      </c>
      <c r="G21" s="852">
        <f>G19-G20</f>
        <v>25.99726589200273</v>
      </c>
      <c r="I21" s="855"/>
      <c r="J21" s="853" t="s">
        <v>687</v>
      </c>
      <c r="K21" s="852">
        <f>K19-K20</f>
        <v>6.885050788330659</v>
      </c>
      <c r="L21" s="547"/>
    </row>
    <row r="22" spans="1:11" s="13" customFormat="1" ht="15.75" customHeight="1">
      <c r="A22" s="1052"/>
      <c r="B22" s="1056" t="s">
        <v>72</v>
      </c>
      <c r="C22" s="1054"/>
      <c r="D22" s="1052"/>
      <c r="E22" s="1052"/>
      <c r="F22" s="805" t="s">
        <v>637</v>
      </c>
      <c r="G22" s="340">
        <f>(G19+G20)/2</f>
        <v>57.001367053998635</v>
      </c>
      <c r="J22" s="682" t="s">
        <v>637</v>
      </c>
      <c r="K22" s="340">
        <f>(K19+K20)/2</f>
        <v>46.44252539416533</v>
      </c>
    </row>
    <row r="23" spans="1:11" s="13" customFormat="1" ht="15.75" customHeight="1">
      <c r="A23" s="1052"/>
      <c r="B23" s="1056" t="s">
        <v>925</v>
      </c>
      <c r="C23" s="1054"/>
      <c r="D23" s="1052"/>
      <c r="E23" s="1070"/>
      <c r="F23" s="861" t="s">
        <v>638</v>
      </c>
      <c r="G23" s="23">
        <v>4.18</v>
      </c>
      <c r="I23" s="196"/>
      <c r="J23" s="854" t="s">
        <v>638</v>
      </c>
      <c r="K23" s="23">
        <v>4.177</v>
      </c>
    </row>
    <row r="24" spans="1:12" s="13" customFormat="1" ht="15.75" customHeight="1">
      <c r="A24" s="1056"/>
      <c r="B24" s="1056" t="s">
        <v>929</v>
      </c>
      <c r="C24" s="1056"/>
      <c r="D24" s="1052"/>
      <c r="E24" s="1060"/>
      <c r="F24" s="860" t="s">
        <v>639</v>
      </c>
      <c r="G24" s="345">
        <f>G22-K8</f>
        <v>37.001367053998635</v>
      </c>
      <c r="I24" s="196"/>
      <c r="J24" s="841" t="s">
        <v>639</v>
      </c>
      <c r="K24" s="345">
        <f>K22-K8</f>
        <v>26.44252539416533</v>
      </c>
      <c r="L24" s="844"/>
    </row>
    <row r="25" spans="1:12" s="13" customFormat="1" ht="15.75" customHeight="1">
      <c r="A25" s="845"/>
      <c r="B25" s="845"/>
      <c r="C25" s="845"/>
      <c r="D25" s="846"/>
      <c r="E25" s="297"/>
      <c r="F25" s="847"/>
      <c r="G25" s="199"/>
      <c r="H25" s="196"/>
      <c r="I25" s="847"/>
      <c r="J25" s="199"/>
      <c r="K25" s="844"/>
      <c r="L25" s="844"/>
    </row>
    <row r="26" spans="1:12" ht="15.75" customHeight="1">
      <c r="A26" s="163"/>
      <c r="B26" s="163"/>
      <c r="C26" s="163"/>
      <c r="D26" s="163"/>
      <c r="E26" s="1075" t="s">
        <v>930</v>
      </c>
      <c r="F26" s="895"/>
      <c r="G26" s="895"/>
      <c r="H26" s="895"/>
      <c r="I26" s="895"/>
      <c r="J26" s="895"/>
      <c r="K26" s="163"/>
      <c r="L26" s="163"/>
    </row>
    <row r="27" spans="1:12" ht="15.75" customHeight="1">
      <c r="A27" s="549"/>
      <c r="B27" s="883" t="s">
        <v>926</v>
      </c>
      <c r="C27" s="1076"/>
      <c r="D27" s="1067"/>
      <c r="E27" s="1028"/>
      <c r="F27" s="810" t="s">
        <v>640</v>
      </c>
      <c r="G27" s="550">
        <f>IF($G$15="",$H$15,$G$15)</f>
        <v>1.1682804797631732</v>
      </c>
      <c r="H27" s="551"/>
      <c r="I27" s="848"/>
      <c r="J27" s="810" t="s">
        <v>640</v>
      </c>
      <c r="K27" s="552">
        <f>IF($J$15="",$K$15,$J$15)</f>
        <v>1.3064184142677286</v>
      </c>
      <c r="L27" s="553"/>
    </row>
    <row r="28" spans="1:12" ht="15.75" customHeight="1">
      <c r="A28" s="163"/>
      <c r="B28" s="884" t="s">
        <v>70</v>
      </c>
      <c r="C28" s="899"/>
      <c r="D28" s="1044"/>
      <c r="E28" s="1077"/>
      <c r="F28" s="761" t="s">
        <v>633</v>
      </c>
      <c r="G28" s="554">
        <f>IF(G15="",G19,DGET(A31:F68,D33,A31:F32))</f>
        <v>70</v>
      </c>
      <c r="H28" s="849" t="s">
        <v>643</v>
      </c>
      <c r="I28" s="856">
        <f>DGET(A31:F68,G33,A31:F32)</f>
        <v>205.74</v>
      </c>
      <c r="J28" s="761" t="s">
        <v>633</v>
      </c>
      <c r="K28" s="555">
        <f>IF(J15="",ROUND(K19,2),DGET(A31:K68,I33,A31:K32))</f>
        <v>49.89</v>
      </c>
      <c r="L28" s="553"/>
    </row>
    <row r="29" spans="1:12" ht="15.75" customHeight="1" thickBot="1">
      <c r="A29" s="163"/>
      <c r="B29" s="885" t="s">
        <v>71</v>
      </c>
      <c r="C29" s="899"/>
      <c r="D29" s="1044"/>
      <c r="E29" s="1077"/>
      <c r="F29" s="761" t="s">
        <v>634</v>
      </c>
      <c r="G29" s="556">
        <f>IF(G15="",ROUND(G20,2),DGET(A31:F68,E33,A31:F32))</f>
        <v>44</v>
      </c>
      <c r="H29" s="1"/>
      <c r="I29" s="1"/>
      <c r="J29" s="761" t="s">
        <v>634</v>
      </c>
      <c r="K29" s="555">
        <f>IF(J15="",ROUND(K20,2),DGET(A31:K68,J33,A31:K32))</f>
        <v>43</v>
      </c>
      <c r="L29" s="553"/>
    </row>
    <row r="30" spans="1:12" ht="15.75" customHeight="1" thickBot="1">
      <c r="A30" s="163"/>
      <c r="B30" s="1078"/>
      <c r="C30" s="1079" t="s">
        <v>931</v>
      </c>
      <c r="D30" s="1080"/>
      <c r="E30" s="557"/>
      <c r="F30" s="1081"/>
      <c r="G30" s="558"/>
      <c r="H30" s="1079" t="s">
        <v>932</v>
      </c>
      <c r="I30" s="1080"/>
      <c r="J30" s="557"/>
      <c r="K30" s="1081"/>
      <c r="L30" s="553"/>
    </row>
    <row r="31" spans="1:12" ht="15.75" customHeight="1">
      <c r="A31" s="660" t="s">
        <v>641</v>
      </c>
      <c r="B31" s="811" t="s">
        <v>644</v>
      </c>
      <c r="C31" s="812" t="s">
        <v>645</v>
      </c>
      <c r="D31" s="813" t="s">
        <v>646</v>
      </c>
      <c r="E31" s="814" t="s">
        <v>647</v>
      </c>
      <c r="F31" s="825" t="s">
        <v>636</v>
      </c>
      <c r="G31" s="163"/>
      <c r="H31" s="822" t="s">
        <v>645</v>
      </c>
      <c r="I31" s="667" t="s">
        <v>649</v>
      </c>
      <c r="J31" s="823" t="s">
        <v>648</v>
      </c>
      <c r="K31" s="824" t="s">
        <v>636</v>
      </c>
      <c r="L31" s="553"/>
    </row>
    <row r="32" spans="1:12" ht="16.5" thickBot="1">
      <c r="A32" s="820">
        <f>I16</f>
        <v>8</v>
      </c>
      <c r="B32" s="425"/>
      <c r="C32" s="425"/>
      <c r="D32" s="425"/>
      <c r="E32" s="412"/>
      <c r="F32" s="815"/>
      <c r="G32" s="242"/>
      <c r="H32" s="818"/>
      <c r="I32" s="425"/>
      <c r="J32" s="412"/>
      <c r="K32" s="819"/>
      <c r="L32" s="242"/>
    </row>
    <row r="33" spans="1:15" ht="21" thickBot="1">
      <c r="A33" s="821" t="s">
        <v>650</v>
      </c>
      <c r="B33" s="811" t="s">
        <v>644</v>
      </c>
      <c r="C33" s="812" t="s">
        <v>645</v>
      </c>
      <c r="D33" s="660" t="s">
        <v>646</v>
      </c>
      <c r="E33" s="814" t="s">
        <v>647</v>
      </c>
      <c r="F33" s="806" t="s">
        <v>636</v>
      </c>
      <c r="G33" s="816" t="s">
        <v>651</v>
      </c>
      <c r="H33" s="812" t="s">
        <v>645</v>
      </c>
      <c r="I33" s="660" t="s">
        <v>649</v>
      </c>
      <c r="J33" s="814" t="s">
        <v>648</v>
      </c>
      <c r="K33" s="817" t="s">
        <v>636</v>
      </c>
      <c r="L33" s="163"/>
      <c r="N33" s="15"/>
      <c r="O33" s="16"/>
    </row>
    <row r="34" spans="1:15" ht="12.75">
      <c r="A34" s="559">
        <f>G8</f>
        <v>-15</v>
      </c>
      <c r="B34" s="560">
        <f aca="true" t="shared" si="0" ref="B34:B68">($K$8-A34)/($K$8-$G$8)</f>
        <v>1</v>
      </c>
      <c r="C34" s="561">
        <f aca="true" t="shared" si="1" ref="C34:C68">(G$13-G$23)*(K$8+G$14*B34^(1/G$27)-G$22)/(G$12-G$22)+G$23</f>
        <v>4.226</v>
      </c>
      <c r="D34" s="562">
        <f aca="true" t="shared" si="2" ref="D34:D68">ROUND($K$8+$G$14*B34^(1/G$27)+($G$11/2)*(G$13/C34)*B34,2)</f>
        <v>150</v>
      </c>
      <c r="E34" s="563">
        <f aca="true" t="shared" si="3" ref="E34:E68">ROUND($K$8+$G$14*B34^(1/G$27)-($G$11/2)*(G$13/C34)*B34,2)</f>
        <v>75</v>
      </c>
      <c r="F34" s="564">
        <f aca="true" t="shared" si="4" ref="F34:F68">ROUND(I$7*(D34-E34)*C34/(G$11*G$13),2)</f>
        <v>600</v>
      </c>
      <c r="G34" s="565">
        <f aca="true" t="shared" si="5" ref="G34:G68">ROUND(I$7*B34,2)</f>
        <v>600</v>
      </c>
      <c r="H34" s="566">
        <f aca="true" t="shared" si="6" ref="H34:H68">(K$13-K$23)*(K$8+K$14*B34^(1/K$27)-K$22)/(K$12-K$22)+K$23</f>
        <v>4.194</v>
      </c>
      <c r="I34" s="567">
        <f aca="true" t="shared" si="7" ref="I34:I68">ROUND($K$8+$K$14*B34^(1/K$27)+($K$11/2)*(K$13/H34)*B34,2)</f>
        <v>90</v>
      </c>
      <c r="J34" s="567">
        <f aca="true" t="shared" si="8" ref="J34:J68">ROUND($K$8+$K$14*B34^(1/K$27)-($K$11/2)*(K$13/H34)*B34,2)</f>
        <v>70</v>
      </c>
      <c r="K34" s="568">
        <f aca="true" t="shared" si="9" ref="K34:K68">ROUND(I$7*(I34-J34)*H34/(K$11*K$13),2)</f>
        <v>600</v>
      </c>
      <c r="L34" s="163"/>
      <c r="N34" s="17"/>
      <c r="O34" s="18"/>
    </row>
    <row r="35" spans="1:15" ht="12.75">
      <c r="A35" s="559">
        <f aca="true" t="shared" si="10" ref="A35:A66">A34+1</f>
        <v>-14</v>
      </c>
      <c r="B35" s="569">
        <f t="shared" si="0"/>
        <v>0.9714285714285714</v>
      </c>
      <c r="C35" s="570">
        <f t="shared" si="1"/>
        <v>4.224121095417952</v>
      </c>
      <c r="D35" s="571">
        <f t="shared" si="2"/>
        <v>146.68</v>
      </c>
      <c r="E35" s="572">
        <f t="shared" si="3"/>
        <v>73.79</v>
      </c>
      <c r="F35" s="573">
        <f t="shared" si="4"/>
        <v>582.86</v>
      </c>
      <c r="G35" s="565">
        <f t="shared" si="5"/>
        <v>582.86</v>
      </c>
      <c r="H35" s="574">
        <f t="shared" si="6"/>
        <v>4.19333299260655</v>
      </c>
      <c r="I35" s="575">
        <f t="shared" si="7"/>
        <v>88.4</v>
      </c>
      <c r="J35" s="575">
        <f t="shared" si="8"/>
        <v>68.97</v>
      </c>
      <c r="K35" s="576">
        <f t="shared" si="9"/>
        <v>582.81</v>
      </c>
      <c r="L35" s="163"/>
      <c r="N35" s="17"/>
      <c r="O35" s="18"/>
    </row>
    <row r="36" spans="1:15" ht="12.75">
      <c r="A36" s="559">
        <f t="shared" si="10"/>
        <v>-13</v>
      </c>
      <c r="B36" s="569">
        <f t="shared" si="0"/>
        <v>0.9428571428571428</v>
      </c>
      <c r="C36" s="570">
        <f t="shared" si="1"/>
        <v>4.222234212726536</v>
      </c>
      <c r="D36" s="571">
        <f t="shared" si="2"/>
        <v>143.35</v>
      </c>
      <c r="E36" s="572">
        <f t="shared" si="3"/>
        <v>72.57</v>
      </c>
      <c r="F36" s="573">
        <f t="shared" si="4"/>
        <v>565.74</v>
      </c>
      <c r="G36" s="565">
        <f t="shared" si="5"/>
        <v>565.71</v>
      </c>
      <c r="H36" s="574">
        <f t="shared" si="6"/>
        <v>4.192661367219079</v>
      </c>
      <c r="I36" s="575">
        <f t="shared" si="7"/>
        <v>86.79</v>
      </c>
      <c r="J36" s="575">
        <f t="shared" si="8"/>
        <v>67.93</v>
      </c>
      <c r="K36" s="576">
        <f t="shared" si="9"/>
        <v>565.62</v>
      </c>
      <c r="L36" s="163"/>
      <c r="N36" s="17"/>
      <c r="O36" s="18"/>
    </row>
    <row r="37" spans="1:15" ht="12.75">
      <c r="A37" s="559">
        <f t="shared" si="10"/>
        <v>-12</v>
      </c>
      <c r="B37" s="569">
        <f t="shared" si="0"/>
        <v>0.9142857142857143</v>
      </c>
      <c r="C37" s="570">
        <f t="shared" si="1"/>
        <v>4.220339074652997</v>
      </c>
      <c r="D37" s="571">
        <f t="shared" si="2"/>
        <v>140</v>
      </c>
      <c r="E37" s="572">
        <f t="shared" si="3"/>
        <v>71.34</v>
      </c>
      <c r="F37" s="573">
        <f t="shared" si="4"/>
        <v>548.54</v>
      </c>
      <c r="G37" s="565">
        <f t="shared" si="5"/>
        <v>548.57</v>
      </c>
      <c r="H37" s="574">
        <f t="shared" si="6"/>
        <v>4.19198495040792</v>
      </c>
      <c r="I37" s="575">
        <f t="shared" si="7"/>
        <v>85.17</v>
      </c>
      <c r="J37" s="575">
        <f t="shared" si="8"/>
        <v>66.88</v>
      </c>
      <c r="K37" s="576">
        <f t="shared" si="9"/>
        <v>548.44</v>
      </c>
      <c r="L37" s="163"/>
      <c r="N37" s="17"/>
      <c r="O37" s="18"/>
    </row>
    <row r="38" spans="1:15" ht="12.75">
      <c r="A38" s="559">
        <f t="shared" si="10"/>
        <v>-11</v>
      </c>
      <c r="B38" s="577">
        <f t="shared" si="0"/>
        <v>0.8857142857142857</v>
      </c>
      <c r="C38" s="578">
        <f t="shared" si="1"/>
        <v>4.218435385296439</v>
      </c>
      <c r="D38" s="579">
        <f t="shared" si="2"/>
        <v>136.65</v>
      </c>
      <c r="E38" s="580">
        <f t="shared" si="3"/>
        <v>70.1</v>
      </c>
      <c r="F38" s="581">
        <f t="shared" si="4"/>
        <v>531.45</v>
      </c>
      <c r="G38" s="582">
        <f t="shared" si="5"/>
        <v>531.43</v>
      </c>
      <c r="H38" s="583">
        <f t="shared" si="6"/>
        <v>4.191303556582824</v>
      </c>
      <c r="I38" s="584">
        <f t="shared" si="7"/>
        <v>83.54</v>
      </c>
      <c r="J38" s="584">
        <f t="shared" si="8"/>
        <v>65.81</v>
      </c>
      <c r="K38" s="585">
        <f t="shared" si="9"/>
        <v>531.56</v>
      </c>
      <c r="L38" s="163"/>
      <c r="N38" s="17"/>
      <c r="O38" s="18"/>
    </row>
    <row r="39" spans="1:15" ht="12.75">
      <c r="A39" s="586">
        <f t="shared" si="10"/>
        <v>-10</v>
      </c>
      <c r="B39" s="587">
        <f t="shared" si="0"/>
        <v>0.8571428571428571</v>
      </c>
      <c r="C39" s="561">
        <f t="shared" si="1"/>
        <v>4.216522828232934</v>
      </c>
      <c r="D39" s="567">
        <f t="shared" si="2"/>
        <v>133.28</v>
      </c>
      <c r="E39" s="567">
        <f t="shared" si="3"/>
        <v>68.85</v>
      </c>
      <c r="F39" s="564">
        <f t="shared" si="4"/>
        <v>514.28</v>
      </c>
      <c r="G39" s="588">
        <f t="shared" si="5"/>
        <v>514.29</v>
      </c>
      <c r="H39" s="566">
        <f t="shared" si="6"/>
        <v>4.190616986718508</v>
      </c>
      <c r="I39" s="567">
        <f t="shared" si="7"/>
        <v>81.9</v>
      </c>
      <c r="J39" s="567">
        <f t="shared" si="8"/>
        <v>64.74</v>
      </c>
      <c r="K39" s="568">
        <f t="shared" si="9"/>
        <v>514.38</v>
      </c>
      <c r="L39" s="163"/>
      <c r="N39" s="17"/>
      <c r="O39" s="18"/>
    </row>
    <row r="40" spans="1:15" ht="12.75">
      <c r="A40" s="586">
        <f t="shared" si="10"/>
        <v>-9</v>
      </c>
      <c r="B40" s="589">
        <f t="shared" si="0"/>
        <v>0.8285714285714286</v>
      </c>
      <c r="C40" s="570">
        <f t="shared" si="1"/>
        <v>4.214601064358036</v>
      </c>
      <c r="D40" s="575">
        <f t="shared" si="2"/>
        <v>129.9</v>
      </c>
      <c r="E40" s="575">
        <f t="shared" si="3"/>
        <v>67.59</v>
      </c>
      <c r="F40" s="573">
        <f t="shared" si="4"/>
        <v>497.14</v>
      </c>
      <c r="G40" s="565">
        <f t="shared" si="5"/>
        <v>497.14</v>
      </c>
      <c r="H40" s="574">
        <f t="shared" si="6"/>
        <v>4.189925026899471</v>
      </c>
      <c r="I40" s="575">
        <f t="shared" si="7"/>
        <v>80.25</v>
      </c>
      <c r="J40" s="575">
        <f t="shared" si="8"/>
        <v>63.66</v>
      </c>
      <c r="K40" s="576">
        <f t="shared" si="9"/>
        <v>497.22</v>
      </c>
      <c r="L40" s="163"/>
      <c r="N40" s="17"/>
      <c r="O40" s="18"/>
    </row>
    <row r="41" spans="1:15" ht="12.75">
      <c r="A41" s="586">
        <f t="shared" si="10"/>
        <v>-8</v>
      </c>
      <c r="B41" s="589">
        <f t="shared" si="0"/>
        <v>0.8</v>
      </c>
      <c r="C41" s="570">
        <f t="shared" si="1"/>
        <v>4.212669729419953</v>
      </c>
      <c r="D41" s="575">
        <f t="shared" si="2"/>
        <v>126.51</v>
      </c>
      <c r="E41" s="575">
        <f t="shared" si="3"/>
        <v>66.32</v>
      </c>
      <c r="F41" s="573">
        <f t="shared" si="4"/>
        <v>480</v>
      </c>
      <c r="G41" s="565">
        <f t="shared" si="5"/>
        <v>480</v>
      </c>
      <c r="H41" s="574">
        <f t="shared" si="6"/>
        <v>4.189227446651258</v>
      </c>
      <c r="I41" s="575">
        <f t="shared" si="7"/>
        <v>78.59</v>
      </c>
      <c r="J41" s="575">
        <f t="shared" si="8"/>
        <v>62.57</v>
      </c>
      <c r="K41" s="576">
        <f t="shared" si="9"/>
        <v>480.05</v>
      </c>
      <c r="L41" s="163"/>
      <c r="N41" s="17"/>
      <c r="O41" s="18"/>
    </row>
    <row r="42" spans="1:15" ht="12.75">
      <c r="A42" s="586">
        <f t="shared" si="10"/>
        <v>-7</v>
      </c>
      <c r="B42" s="589">
        <f t="shared" si="0"/>
        <v>0.7714285714285715</v>
      </c>
      <c r="C42" s="570">
        <f t="shared" si="1"/>
        <v>4.210728431186327</v>
      </c>
      <c r="D42" s="575">
        <f t="shared" si="2"/>
        <v>123.11</v>
      </c>
      <c r="E42" s="575">
        <f t="shared" si="3"/>
        <v>65.04</v>
      </c>
      <c r="F42" s="573">
        <f t="shared" si="4"/>
        <v>462.88</v>
      </c>
      <c r="G42" s="565">
        <f t="shared" si="5"/>
        <v>462.86</v>
      </c>
      <c r="H42" s="574">
        <f t="shared" si="6"/>
        <v>4.188523997018086</v>
      </c>
      <c r="I42" s="575">
        <f t="shared" si="7"/>
        <v>76.91</v>
      </c>
      <c r="J42" s="575">
        <f t="shared" si="8"/>
        <v>61.47</v>
      </c>
      <c r="K42" s="576">
        <f t="shared" si="9"/>
        <v>462.6</v>
      </c>
      <c r="L42" s="163"/>
      <c r="N42" s="17"/>
      <c r="O42" s="18"/>
    </row>
    <row r="43" spans="1:15" ht="12.75">
      <c r="A43" s="586">
        <f t="shared" si="10"/>
        <v>-6</v>
      </c>
      <c r="B43" s="590">
        <f t="shared" si="0"/>
        <v>0.7428571428571429</v>
      </c>
      <c r="C43" s="578">
        <f t="shared" si="1"/>
        <v>4.208776746174564</v>
      </c>
      <c r="D43" s="584">
        <f t="shared" si="2"/>
        <v>119.69</v>
      </c>
      <c r="E43" s="584">
        <f t="shared" si="3"/>
        <v>63.75</v>
      </c>
      <c r="F43" s="581">
        <f t="shared" si="4"/>
        <v>445.7</v>
      </c>
      <c r="G43" s="582">
        <f t="shared" si="5"/>
        <v>445.71</v>
      </c>
      <c r="H43" s="583">
        <f t="shared" si="6"/>
        <v>4.187814408337333</v>
      </c>
      <c r="I43" s="584">
        <f t="shared" si="7"/>
        <v>75.23</v>
      </c>
      <c r="J43" s="584">
        <f t="shared" si="8"/>
        <v>60.35</v>
      </c>
      <c r="K43" s="585">
        <f t="shared" si="9"/>
        <v>445.74</v>
      </c>
      <c r="L43" s="163"/>
      <c r="N43" s="17"/>
      <c r="O43" s="18"/>
    </row>
    <row r="44" spans="1:15" ht="12.75">
      <c r="A44" s="586">
        <f t="shared" si="10"/>
        <v>-5</v>
      </c>
      <c r="B44" s="587">
        <f t="shared" si="0"/>
        <v>0.7142857142857143</v>
      </c>
      <c r="C44" s="561">
        <f t="shared" si="1"/>
        <v>4.206814215858997</v>
      </c>
      <c r="D44" s="567">
        <f t="shared" si="2"/>
        <v>116.26</v>
      </c>
      <c r="E44" s="567">
        <f t="shared" si="3"/>
        <v>62.44</v>
      </c>
      <c r="F44" s="564">
        <f t="shared" si="4"/>
        <v>428.61</v>
      </c>
      <c r="G44" s="588">
        <f t="shared" si="5"/>
        <v>428.57</v>
      </c>
      <c r="H44" s="566">
        <f t="shared" si="6"/>
        <v>4.187098387649554</v>
      </c>
      <c r="I44" s="567">
        <f t="shared" si="7"/>
        <v>73.53</v>
      </c>
      <c r="J44" s="567">
        <f t="shared" si="8"/>
        <v>59.22</v>
      </c>
      <c r="K44" s="568">
        <f t="shared" si="9"/>
        <v>428.59</v>
      </c>
      <c r="L44" s="163"/>
      <c r="N44" s="17"/>
      <c r="O44" s="18"/>
    </row>
    <row r="45" spans="1:15" ht="12.75">
      <c r="A45" s="586">
        <f t="shared" si="10"/>
        <v>-4</v>
      </c>
      <c r="B45" s="589">
        <f t="shared" si="0"/>
        <v>0.6857142857142857</v>
      </c>
      <c r="C45" s="570">
        <f t="shared" si="1"/>
        <v>4.20484034224677</v>
      </c>
      <c r="D45" s="575">
        <f t="shared" si="2"/>
        <v>112.81</v>
      </c>
      <c r="E45" s="575">
        <f t="shared" si="3"/>
        <v>61.13</v>
      </c>
      <c r="F45" s="573">
        <f t="shared" si="4"/>
        <v>411.37</v>
      </c>
      <c r="G45" s="565">
        <f t="shared" si="5"/>
        <v>411.43</v>
      </c>
      <c r="H45" s="574">
        <f t="shared" si="6"/>
        <v>4.186375615667209</v>
      </c>
      <c r="I45" s="575">
        <f t="shared" si="7"/>
        <v>71.82</v>
      </c>
      <c r="J45" s="575">
        <f t="shared" si="8"/>
        <v>58.08</v>
      </c>
      <c r="K45" s="576">
        <f t="shared" si="9"/>
        <v>411.45</v>
      </c>
      <c r="L45" s="163"/>
      <c r="N45" s="17"/>
      <c r="O45" s="18"/>
    </row>
    <row r="46" spans="1:15" ht="12.75">
      <c r="A46" s="586">
        <f t="shared" si="10"/>
        <v>-3</v>
      </c>
      <c r="B46" s="589">
        <f t="shared" si="0"/>
        <v>0.6571428571428571</v>
      </c>
      <c r="C46" s="570">
        <f t="shared" si="1"/>
        <v>4.202854582686548</v>
      </c>
      <c r="D46" s="575">
        <f t="shared" si="2"/>
        <v>109.35</v>
      </c>
      <c r="E46" s="575">
        <f t="shared" si="3"/>
        <v>59.8</v>
      </c>
      <c r="F46" s="573">
        <f t="shared" si="4"/>
        <v>394.23</v>
      </c>
      <c r="G46" s="565">
        <f t="shared" si="5"/>
        <v>394.29</v>
      </c>
      <c r="H46" s="574">
        <f t="shared" si="6"/>
        <v>4.18564574320527</v>
      </c>
      <c r="I46" s="575">
        <f t="shared" si="7"/>
        <v>70.09</v>
      </c>
      <c r="J46" s="575">
        <f t="shared" si="8"/>
        <v>56.92</v>
      </c>
      <c r="K46" s="576">
        <f t="shared" si="9"/>
        <v>394.31</v>
      </c>
      <c r="L46" s="163"/>
      <c r="N46" s="17"/>
      <c r="O46" s="18"/>
    </row>
    <row r="47" spans="1:15" ht="12.75">
      <c r="A47" s="586">
        <f t="shared" si="10"/>
        <v>-2</v>
      </c>
      <c r="B47" s="589">
        <f t="shared" si="0"/>
        <v>0.6285714285714286</v>
      </c>
      <c r="C47" s="570">
        <f t="shared" si="1"/>
        <v>4.200856343737623</v>
      </c>
      <c r="D47" s="575">
        <f t="shared" si="2"/>
        <v>105.88</v>
      </c>
      <c r="E47" s="575">
        <f t="shared" si="3"/>
        <v>58.45</v>
      </c>
      <c r="F47" s="573">
        <f t="shared" si="4"/>
        <v>377.18</v>
      </c>
      <c r="G47" s="565">
        <f t="shared" si="5"/>
        <v>377.14</v>
      </c>
      <c r="H47" s="574">
        <f t="shared" si="6"/>
        <v>4.184908386950398</v>
      </c>
      <c r="I47" s="575">
        <f t="shared" si="7"/>
        <v>68.35</v>
      </c>
      <c r="J47" s="575">
        <f t="shared" si="8"/>
        <v>55.75</v>
      </c>
      <c r="K47" s="576">
        <f t="shared" si="9"/>
        <v>377.18</v>
      </c>
      <c r="L47" s="163"/>
      <c r="N47" s="17"/>
      <c r="O47" s="18"/>
    </row>
    <row r="48" spans="1:15" ht="12.75">
      <c r="A48" s="586">
        <f t="shared" si="10"/>
        <v>-1</v>
      </c>
      <c r="B48" s="590">
        <f t="shared" si="0"/>
        <v>0.6</v>
      </c>
      <c r="C48" s="578">
        <f t="shared" si="1"/>
        <v>4.19884497387862</v>
      </c>
      <c r="D48" s="584">
        <f t="shared" si="2"/>
        <v>102.38</v>
      </c>
      <c r="E48" s="584">
        <f t="shared" si="3"/>
        <v>57.09</v>
      </c>
      <c r="F48" s="581">
        <f t="shared" si="4"/>
        <v>359.99</v>
      </c>
      <c r="G48" s="582">
        <f t="shared" si="5"/>
        <v>360</v>
      </c>
      <c r="H48" s="583">
        <f t="shared" si="6"/>
        <v>4.184163124410205</v>
      </c>
      <c r="I48" s="584">
        <f t="shared" si="7"/>
        <v>66.6</v>
      </c>
      <c r="J48" s="584">
        <f t="shared" si="8"/>
        <v>54.57</v>
      </c>
      <c r="K48" s="585">
        <f t="shared" si="9"/>
        <v>360.05</v>
      </c>
      <c r="L48" s="163"/>
      <c r="N48" s="17"/>
      <c r="O48" s="18"/>
    </row>
    <row r="49" spans="1:15" ht="12.75">
      <c r="A49" s="586">
        <f t="shared" si="10"/>
        <v>0</v>
      </c>
      <c r="B49" s="587">
        <f t="shared" si="0"/>
        <v>0.5714285714285714</v>
      </c>
      <c r="C49" s="561">
        <f t="shared" si="1"/>
        <v>4.196819754770023</v>
      </c>
      <c r="D49" s="567">
        <f t="shared" si="2"/>
        <v>98.87</v>
      </c>
      <c r="E49" s="567">
        <f t="shared" si="3"/>
        <v>55.72</v>
      </c>
      <c r="F49" s="564">
        <f t="shared" si="4"/>
        <v>342.82</v>
      </c>
      <c r="G49" s="588">
        <f t="shared" si="5"/>
        <v>342.86</v>
      </c>
      <c r="H49" s="566">
        <f t="shared" si="6"/>
        <v>4.183409487836676</v>
      </c>
      <c r="I49" s="567">
        <f t="shared" si="7"/>
        <v>64.82</v>
      </c>
      <c r="J49" s="567">
        <f t="shared" si="8"/>
        <v>53.37</v>
      </c>
      <c r="K49" s="568">
        <f t="shared" si="9"/>
        <v>342.63</v>
      </c>
      <c r="L49" s="163"/>
      <c r="N49" s="17"/>
      <c r="O49" s="18"/>
    </row>
    <row r="50" spans="1:15" ht="12.75">
      <c r="A50" s="586">
        <f t="shared" si="10"/>
        <v>1</v>
      </c>
      <c r="B50" s="589">
        <f t="shared" si="0"/>
        <v>0.5428571428571428</v>
      </c>
      <c r="C50" s="570">
        <f t="shared" si="1"/>
        <v>4.194779890696417</v>
      </c>
      <c r="D50" s="575">
        <f t="shared" si="2"/>
        <v>95.34</v>
      </c>
      <c r="E50" s="575">
        <f t="shared" si="3"/>
        <v>54.32</v>
      </c>
      <c r="F50" s="573">
        <f t="shared" si="4"/>
        <v>325.74</v>
      </c>
      <c r="G50" s="565">
        <f t="shared" si="5"/>
        <v>325.71</v>
      </c>
      <c r="H50" s="574">
        <f t="shared" si="6"/>
        <v>4.1826469568531515</v>
      </c>
      <c r="I50" s="575">
        <f t="shared" si="7"/>
        <v>63.03</v>
      </c>
      <c r="J50" s="575">
        <f t="shared" si="8"/>
        <v>52.15</v>
      </c>
      <c r="K50" s="576">
        <f t="shared" si="9"/>
        <v>325.52</v>
      </c>
      <c r="L50" s="163"/>
      <c r="N50" s="17"/>
      <c r="O50" s="18"/>
    </row>
    <row r="51" spans="1:15" ht="12.75">
      <c r="A51" s="586">
        <f t="shared" si="10"/>
        <v>2</v>
      </c>
      <c r="B51" s="589">
        <f t="shared" si="0"/>
        <v>0.5142857142857142</v>
      </c>
      <c r="C51" s="570">
        <f t="shared" si="1"/>
        <v>4.192724495692573</v>
      </c>
      <c r="D51" s="575">
        <f t="shared" si="2"/>
        <v>91.79</v>
      </c>
      <c r="E51" s="575">
        <f t="shared" si="3"/>
        <v>52.91</v>
      </c>
      <c r="F51" s="573">
        <f t="shared" si="4"/>
        <v>308.59</v>
      </c>
      <c r="G51" s="565">
        <f t="shared" si="5"/>
        <v>308.57</v>
      </c>
      <c r="H51" s="574">
        <f t="shared" si="6"/>
        <v>4.181874949424615</v>
      </c>
      <c r="I51" s="575">
        <f t="shared" si="7"/>
        <v>61.22</v>
      </c>
      <c r="J51" s="575">
        <f t="shared" si="8"/>
        <v>50.91</v>
      </c>
      <c r="K51" s="576">
        <f t="shared" si="9"/>
        <v>308.41</v>
      </c>
      <c r="L51" s="163"/>
      <c r="N51" s="17"/>
      <c r="O51" s="18"/>
    </row>
    <row r="52" spans="1:15" ht="12.75">
      <c r="A52" s="586">
        <f t="shared" si="10"/>
        <v>3</v>
      </c>
      <c r="B52" s="589">
        <f t="shared" si="0"/>
        <v>0.4857142857142857</v>
      </c>
      <c r="C52" s="570">
        <f t="shared" si="1"/>
        <v>4.190652577687097</v>
      </c>
      <c r="D52" s="575">
        <f t="shared" si="2"/>
        <v>88.22</v>
      </c>
      <c r="E52" s="575">
        <f t="shared" si="3"/>
        <v>51.49</v>
      </c>
      <c r="F52" s="573">
        <f t="shared" si="4"/>
        <v>291.38</v>
      </c>
      <c r="G52" s="565">
        <f t="shared" si="5"/>
        <v>291.43</v>
      </c>
      <c r="H52" s="574">
        <f t="shared" si="6"/>
        <v>4.181092810685162</v>
      </c>
      <c r="I52" s="575">
        <f t="shared" si="7"/>
        <v>59.39</v>
      </c>
      <c r="J52" s="575">
        <f t="shared" si="8"/>
        <v>49.65</v>
      </c>
      <c r="K52" s="576">
        <f t="shared" si="9"/>
        <v>291.3</v>
      </c>
      <c r="L52" s="163"/>
      <c r="N52" s="17"/>
      <c r="O52" s="18"/>
    </row>
    <row r="53" spans="1:15" ht="12.75">
      <c r="A53" s="586">
        <f t="shared" si="10"/>
        <v>4</v>
      </c>
      <c r="B53" s="590">
        <f t="shared" si="0"/>
        <v>0.45714285714285713</v>
      </c>
      <c r="C53" s="578">
        <f t="shared" si="1"/>
        <v>4.188563018754663</v>
      </c>
      <c r="D53" s="584">
        <f t="shared" si="2"/>
        <v>84.63</v>
      </c>
      <c r="E53" s="584">
        <f t="shared" si="3"/>
        <v>50.04</v>
      </c>
      <c r="F53" s="581">
        <f t="shared" si="4"/>
        <v>274.27</v>
      </c>
      <c r="G53" s="582">
        <f t="shared" si="5"/>
        <v>274.29</v>
      </c>
      <c r="H53" s="583">
        <f t="shared" si="6"/>
        <v>4.180299798956359</v>
      </c>
      <c r="I53" s="584">
        <f t="shared" si="7"/>
        <v>57.54</v>
      </c>
      <c r="J53" s="584">
        <f t="shared" si="8"/>
        <v>48.37</v>
      </c>
      <c r="K53" s="585">
        <f t="shared" si="9"/>
        <v>274.2</v>
      </c>
      <c r="L53" s="163"/>
      <c r="N53" s="17"/>
      <c r="O53" s="18"/>
    </row>
    <row r="54" spans="1:15" ht="12.75">
      <c r="A54" s="586">
        <f t="shared" si="10"/>
        <v>5</v>
      </c>
      <c r="B54" s="587">
        <f t="shared" si="0"/>
        <v>0.42857142857142855</v>
      </c>
      <c r="C54" s="561">
        <f t="shared" si="1"/>
        <v>4.186454550216017</v>
      </c>
      <c r="D54" s="567">
        <f t="shared" si="2"/>
        <v>81.01</v>
      </c>
      <c r="E54" s="567">
        <f t="shared" si="3"/>
        <v>48.57</v>
      </c>
      <c r="F54" s="564">
        <f t="shared" si="4"/>
        <v>257.09</v>
      </c>
      <c r="G54" s="588">
        <f t="shared" si="5"/>
        <v>257.14</v>
      </c>
      <c r="H54" s="566">
        <f t="shared" si="6"/>
        <v>4.17949506802777</v>
      </c>
      <c r="I54" s="567">
        <f t="shared" si="7"/>
        <v>55.67</v>
      </c>
      <c r="J54" s="567">
        <f t="shared" si="8"/>
        <v>47.07</v>
      </c>
      <c r="K54" s="568">
        <f t="shared" si="9"/>
        <v>257.11</v>
      </c>
      <c r="L54" s="163"/>
      <c r="N54" s="17"/>
      <c r="O54" s="18"/>
    </row>
    <row r="55" spans="1:15" ht="12.75">
      <c r="A55" s="586">
        <f t="shared" si="10"/>
        <v>6</v>
      </c>
      <c r="B55" s="589">
        <f t="shared" si="0"/>
        <v>0.4</v>
      </c>
      <c r="C55" s="570">
        <f t="shared" si="1"/>
        <v>4.184325720803757</v>
      </c>
      <c r="D55" s="575">
        <f t="shared" si="2"/>
        <v>77.37</v>
      </c>
      <c r="E55" s="575">
        <f t="shared" si="3"/>
        <v>47.07</v>
      </c>
      <c r="F55" s="573">
        <f t="shared" si="4"/>
        <v>240.01</v>
      </c>
      <c r="G55" s="565">
        <f t="shared" si="5"/>
        <v>240</v>
      </c>
      <c r="H55" s="574">
        <f t="shared" si="6"/>
        <v>4.178677644380282</v>
      </c>
      <c r="I55" s="575">
        <f t="shared" si="7"/>
        <v>53.77</v>
      </c>
      <c r="J55" s="575">
        <f t="shared" si="8"/>
        <v>45.74</v>
      </c>
      <c r="K55" s="576">
        <f t="shared" si="9"/>
        <v>240.02</v>
      </c>
      <c r="L55" s="163"/>
      <c r="N55" s="17"/>
      <c r="O55" s="18"/>
    </row>
    <row r="56" spans="1:15" ht="12.75">
      <c r="A56" s="586">
        <f t="shared" si="10"/>
        <v>7</v>
      </c>
      <c r="B56" s="589">
        <f t="shared" si="0"/>
        <v>0.37142857142857144</v>
      </c>
      <c r="C56" s="570">
        <f t="shared" si="1"/>
        <v>4.182174855322109</v>
      </c>
      <c r="D56" s="575">
        <f t="shared" si="2"/>
        <v>73.7</v>
      </c>
      <c r="E56" s="575">
        <f t="shared" si="3"/>
        <v>45.55</v>
      </c>
      <c r="F56" s="573">
        <f t="shared" si="4"/>
        <v>222.86</v>
      </c>
      <c r="G56" s="565">
        <f t="shared" si="5"/>
        <v>222.86</v>
      </c>
      <c r="H56" s="574">
        <f t="shared" si="6"/>
        <v>4.17784639743762</v>
      </c>
      <c r="I56" s="575">
        <f t="shared" si="7"/>
        <v>51.84</v>
      </c>
      <c r="J56" s="575">
        <f t="shared" si="8"/>
        <v>44.38</v>
      </c>
      <c r="K56" s="576">
        <f t="shared" si="9"/>
        <v>222.94</v>
      </c>
      <c r="L56" s="163"/>
      <c r="N56" s="17"/>
      <c r="O56" s="18"/>
    </row>
    <row r="57" spans="1:15" ht="12.75">
      <c r="A57" s="586">
        <f t="shared" si="10"/>
        <v>8</v>
      </c>
      <c r="B57" s="589">
        <f t="shared" si="0"/>
        <v>0.34285714285714286</v>
      </c>
      <c r="C57" s="570">
        <f t="shared" si="1"/>
        <v>4.18</v>
      </c>
      <c r="D57" s="575">
        <f t="shared" si="2"/>
        <v>70</v>
      </c>
      <c r="E57" s="575">
        <f t="shared" si="3"/>
        <v>44</v>
      </c>
      <c r="F57" s="573">
        <f t="shared" si="4"/>
        <v>205.74</v>
      </c>
      <c r="G57" s="565">
        <f t="shared" si="5"/>
        <v>205.71</v>
      </c>
      <c r="H57" s="574">
        <f t="shared" si="6"/>
        <v>4.177</v>
      </c>
      <c r="I57" s="575">
        <f t="shared" si="7"/>
        <v>49.89</v>
      </c>
      <c r="J57" s="575">
        <f t="shared" si="8"/>
        <v>43</v>
      </c>
      <c r="K57" s="576">
        <f t="shared" si="9"/>
        <v>205.86</v>
      </c>
      <c r="L57" s="163"/>
      <c r="N57" s="17"/>
      <c r="O57" s="18"/>
    </row>
    <row r="58" spans="1:15" ht="12.75">
      <c r="A58" s="586">
        <f t="shared" si="10"/>
        <v>9</v>
      </c>
      <c r="B58" s="590">
        <f t="shared" si="0"/>
        <v>0.3142857142857143</v>
      </c>
      <c r="C58" s="578">
        <f t="shared" si="1"/>
        <v>4.1777988487665825</v>
      </c>
      <c r="D58" s="584">
        <f t="shared" si="2"/>
        <v>66.27</v>
      </c>
      <c r="E58" s="584">
        <f t="shared" si="3"/>
        <v>42.42</v>
      </c>
      <c r="F58" s="581">
        <f t="shared" si="4"/>
        <v>188.62</v>
      </c>
      <c r="G58" s="582">
        <f t="shared" si="5"/>
        <v>188.57</v>
      </c>
      <c r="H58" s="583">
        <f t="shared" si="6"/>
        <v>4.1761368745114575</v>
      </c>
      <c r="I58" s="584">
        <f t="shared" si="7"/>
        <v>47.9</v>
      </c>
      <c r="J58" s="584">
        <f t="shared" si="8"/>
        <v>41.58</v>
      </c>
      <c r="K58" s="585">
        <f t="shared" si="9"/>
        <v>188.79</v>
      </c>
      <c r="L58" s="163"/>
      <c r="N58" s="17"/>
      <c r="O58" s="18"/>
    </row>
    <row r="59" spans="1:15" ht="12.75">
      <c r="A59" s="586">
        <f t="shared" si="10"/>
        <v>10</v>
      </c>
      <c r="B59" s="587">
        <f t="shared" si="0"/>
        <v>0.2857142857142857</v>
      </c>
      <c r="C59" s="561">
        <f t="shared" si="1"/>
        <v>4.175568641409718</v>
      </c>
      <c r="D59" s="567">
        <f t="shared" si="2"/>
        <v>62.5</v>
      </c>
      <c r="E59" s="567">
        <f t="shared" si="3"/>
        <v>40.81</v>
      </c>
      <c r="F59" s="564">
        <f t="shared" si="4"/>
        <v>171.45</v>
      </c>
      <c r="G59" s="588">
        <f t="shared" si="5"/>
        <v>171.43</v>
      </c>
      <c r="H59" s="566">
        <f t="shared" si="6"/>
        <v>4.175255118303319</v>
      </c>
      <c r="I59" s="567">
        <f t="shared" si="7"/>
        <v>45.87</v>
      </c>
      <c r="J59" s="567">
        <f t="shared" si="8"/>
        <v>40.13</v>
      </c>
      <c r="K59" s="568">
        <f t="shared" si="9"/>
        <v>171.43</v>
      </c>
      <c r="L59" s="163"/>
      <c r="N59" s="17"/>
      <c r="O59" s="18"/>
    </row>
    <row r="60" spans="1:15" ht="12.75">
      <c r="A60" s="586">
        <f t="shared" si="10"/>
        <v>11</v>
      </c>
      <c r="B60" s="589">
        <f t="shared" si="0"/>
        <v>0.2571428571428571</v>
      </c>
      <c r="C60" s="570">
        <f t="shared" si="1"/>
        <v>4.1733060189341336</v>
      </c>
      <c r="D60" s="575">
        <f t="shared" si="2"/>
        <v>58.69</v>
      </c>
      <c r="E60" s="575">
        <f t="shared" si="3"/>
        <v>39.16</v>
      </c>
      <c r="F60" s="573">
        <f t="shared" si="4"/>
        <v>154.29</v>
      </c>
      <c r="G60" s="565">
        <f t="shared" si="5"/>
        <v>154.29</v>
      </c>
      <c r="H60" s="574">
        <f t="shared" si="6"/>
        <v>4.17435239659305</v>
      </c>
      <c r="I60" s="575">
        <f t="shared" si="7"/>
        <v>43.8</v>
      </c>
      <c r="J60" s="575">
        <f t="shared" si="8"/>
        <v>38.63</v>
      </c>
      <c r="K60" s="576">
        <f t="shared" si="9"/>
        <v>154.37</v>
      </c>
      <c r="L60" s="163"/>
      <c r="N60" s="17"/>
      <c r="O60" s="18"/>
    </row>
    <row r="61" spans="1:15" ht="12.75">
      <c r="A61" s="586">
        <f t="shared" si="10"/>
        <v>12</v>
      </c>
      <c r="B61" s="589">
        <f t="shared" si="0"/>
        <v>0.22857142857142856</v>
      </c>
      <c r="C61" s="570">
        <f t="shared" si="1"/>
        <v>4.171006811222663</v>
      </c>
      <c r="D61" s="575">
        <f t="shared" si="2"/>
        <v>54.84</v>
      </c>
      <c r="E61" s="575">
        <f t="shared" si="3"/>
        <v>37.47</v>
      </c>
      <c r="F61" s="573">
        <f t="shared" si="4"/>
        <v>137.15</v>
      </c>
      <c r="G61" s="565">
        <f t="shared" si="5"/>
        <v>137.14</v>
      </c>
      <c r="H61" s="574">
        <f t="shared" si="6"/>
        <v>4.173425784060277</v>
      </c>
      <c r="I61" s="575">
        <f t="shared" si="7"/>
        <v>41.68</v>
      </c>
      <c r="J61" s="575">
        <f t="shared" si="8"/>
        <v>37.09</v>
      </c>
      <c r="K61" s="576">
        <f t="shared" si="9"/>
        <v>137.02</v>
      </c>
      <c r="L61" s="163"/>
      <c r="N61" s="17"/>
      <c r="O61" s="18"/>
    </row>
    <row r="62" spans="1:15" ht="12.75">
      <c r="A62" s="586">
        <f t="shared" si="10"/>
        <v>13</v>
      </c>
      <c r="B62" s="589">
        <f t="shared" si="0"/>
        <v>0.2</v>
      </c>
      <c r="C62" s="570">
        <f t="shared" si="1"/>
        <v>4.168665712552675</v>
      </c>
      <c r="D62" s="575">
        <f t="shared" si="2"/>
        <v>50.93</v>
      </c>
      <c r="E62" s="575">
        <f t="shared" si="3"/>
        <v>35.72</v>
      </c>
      <c r="F62" s="573">
        <f t="shared" si="4"/>
        <v>120.03</v>
      </c>
      <c r="G62" s="565">
        <f t="shared" si="5"/>
        <v>120</v>
      </c>
      <c r="H62" s="574">
        <f t="shared" si="6"/>
        <v>4.172471520457797</v>
      </c>
      <c r="I62" s="575">
        <f t="shared" si="7"/>
        <v>39.51</v>
      </c>
      <c r="J62" s="575">
        <f t="shared" si="8"/>
        <v>35.49</v>
      </c>
      <c r="K62" s="576">
        <f t="shared" si="9"/>
        <v>119.98</v>
      </c>
      <c r="L62" s="163"/>
      <c r="N62" s="17"/>
      <c r="O62" s="18"/>
    </row>
    <row r="63" spans="1:15" ht="12.75">
      <c r="A63" s="586">
        <f t="shared" si="10"/>
        <v>14</v>
      </c>
      <c r="B63" s="590">
        <f t="shared" si="0"/>
        <v>0.17142857142857143</v>
      </c>
      <c r="C63" s="578">
        <f t="shared" si="1"/>
        <v>4.166275760432776</v>
      </c>
      <c r="D63" s="584">
        <f t="shared" si="2"/>
        <v>46.96</v>
      </c>
      <c r="E63" s="584">
        <f t="shared" si="3"/>
        <v>33.92</v>
      </c>
      <c r="F63" s="581">
        <f t="shared" si="4"/>
        <v>102.85</v>
      </c>
      <c r="G63" s="582">
        <f t="shared" si="5"/>
        <v>102.86</v>
      </c>
      <c r="H63" s="583">
        <f t="shared" si="6"/>
        <v>4.171484613911638</v>
      </c>
      <c r="I63" s="584">
        <f t="shared" si="7"/>
        <v>37.28</v>
      </c>
      <c r="J63" s="584">
        <f t="shared" si="8"/>
        <v>33.83</v>
      </c>
      <c r="K63" s="585">
        <f t="shared" si="9"/>
        <v>102.94</v>
      </c>
      <c r="L63" s="163"/>
      <c r="N63" s="17"/>
      <c r="O63" s="18"/>
    </row>
    <row r="64" spans="1:15" ht="12.75">
      <c r="A64" s="559">
        <f t="shared" si="10"/>
        <v>15</v>
      </c>
      <c r="B64" s="587">
        <f t="shared" si="0"/>
        <v>0.14285714285714285</v>
      </c>
      <c r="C64" s="561">
        <f t="shared" si="1"/>
        <v>4.163827443646433</v>
      </c>
      <c r="D64" s="567">
        <f t="shared" si="2"/>
        <v>42.93</v>
      </c>
      <c r="E64" s="567">
        <f t="shared" si="3"/>
        <v>32.05</v>
      </c>
      <c r="F64" s="564">
        <f t="shared" si="4"/>
        <v>85.76</v>
      </c>
      <c r="G64" s="588">
        <f t="shared" si="5"/>
        <v>85.71</v>
      </c>
      <c r="H64" s="566">
        <f t="shared" si="6"/>
        <v>4.170458153722004</v>
      </c>
      <c r="I64" s="567">
        <f t="shared" si="7"/>
        <v>34.97</v>
      </c>
      <c r="J64" s="567">
        <f t="shared" si="8"/>
        <v>32.09</v>
      </c>
      <c r="K64" s="568">
        <f t="shared" si="9"/>
        <v>85.92</v>
      </c>
      <c r="L64" s="163"/>
      <c r="N64" s="17"/>
      <c r="O64" s="18"/>
    </row>
    <row r="65" spans="1:15" ht="12.75">
      <c r="A65" s="559">
        <f t="shared" si="10"/>
        <v>16</v>
      </c>
      <c r="B65" s="589">
        <f t="shared" si="0"/>
        <v>0.11428571428571428</v>
      </c>
      <c r="C65" s="570">
        <f t="shared" si="1"/>
        <v>4.161307041562991</v>
      </c>
      <c r="D65" s="575">
        <f t="shared" si="2"/>
        <v>38.8</v>
      </c>
      <c r="E65" s="575">
        <f t="shared" si="3"/>
        <v>30.1</v>
      </c>
      <c r="F65" s="573">
        <f t="shared" si="4"/>
        <v>68.53</v>
      </c>
      <c r="G65" s="565">
        <f t="shared" si="5"/>
        <v>68.57</v>
      </c>
      <c r="H65" s="574">
        <f t="shared" si="6"/>
        <v>4.169382012699038</v>
      </c>
      <c r="I65" s="575">
        <f t="shared" si="7"/>
        <v>32.55</v>
      </c>
      <c r="J65" s="575">
        <f t="shared" si="8"/>
        <v>30.26</v>
      </c>
      <c r="K65" s="576">
        <f t="shared" si="9"/>
        <v>68.3</v>
      </c>
      <c r="L65" s="163"/>
      <c r="N65" s="17"/>
      <c r="O65" s="18"/>
    </row>
    <row r="66" spans="1:15" ht="12.75">
      <c r="A66" s="559">
        <f t="shared" si="10"/>
        <v>17</v>
      </c>
      <c r="B66" s="589">
        <f t="shared" si="0"/>
        <v>0.08571428571428572</v>
      </c>
      <c r="C66" s="570">
        <f t="shared" si="1"/>
        <v>4.158693145433861</v>
      </c>
      <c r="D66" s="575">
        <f t="shared" si="2"/>
        <v>34.56</v>
      </c>
      <c r="E66" s="575">
        <f t="shared" si="3"/>
        <v>28.03</v>
      </c>
      <c r="F66" s="573">
        <f t="shared" si="4"/>
        <v>51.41</v>
      </c>
      <c r="G66" s="565">
        <f t="shared" si="5"/>
        <v>51.43</v>
      </c>
      <c r="H66" s="574">
        <f t="shared" si="6"/>
        <v>4.168240082055444</v>
      </c>
      <c r="I66" s="575">
        <f t="shared" si="7"/>
        <v>30.01</v>
      </c>
      <c r="J66" s="575">
        <f t="shared" si="8"/>
        <v>28.29</v>
      </c>
      <c r="K66" s="576">
        <f t="shared" si="9"/>
        <v>51.28</v>
      </c>
      <c r="L66" s="163"/>
      <c r="N66" s="17"/>
      <c r="O66" s="18"/>
    </row>
    <row r="67" spans="1:15" ht="12.75">
      <c r="A67" s="559">
        <f>A66+1</f>
        <v>18</v>
      </c>
      <c r="B67" s="589">
        <f t="shared" si="0"/>
        <v>0.05714285714285714</v>
      </c>
      <c r="C67" s="570">
        <f t="shared" si="1"/>
        <v>4.1559479381644255</v>
      </c>
      <c r="D67" s="575">
        <f t="shared" si="2"/>
        <v>30.16</v>
      </c>
      <c r="E67" s="575">
        <f t="shared" si="3"/>
        <v>25.8</v>
      </c>
      <c r="F67" s="573">
        <f t="shared" si="4"/>
        <v>34.3</v>
      </c>
      <c r="G67" s="565">
        <f t="shared" si="5"/>
        <v>34.29</v>
      </c>
      <c r="H67" s="574">
        <f t="shared" si="6"/>
        <v>4.167003186486239</v>
      </c>
      <c r="I67" s="575">
        <f t="shared" si="7"/>
        <v>27.28</v>
      </c>
      <c r="J67" s="575">
        <f t="shared" si="8"/>
        <v>26.13</v>
      </c>
      <c r="K67" s="576">
        <f t="shared" si="9"/>
        <v>34.28</v>
      </c>
      <c r="L67" s="163"/>
      <c r="N67" s="17"/>
      <c r="O67" s="18"/>
    </row>
    <row r="68" spans="1:15" ht="13.5" thickBot="1">
      <c r="A68" s="559">
        <f>A67+1</f>
        <v>19</v>
      </c>
      <c r="B68" s="590">
        <f t="shared" si="0"/>
        <v>0.02857142857142857</v>
      </c>
      <c r="C68" s="578">
        <f t="shared" si="1"/>
        <v>4.152987044221146</v>
      </c>
      <c r="D68" s="584">
        <f t="shared" si="2"/>
        <v>25.5</v>
      </c>
      <c r="E68" s="584">
        <f t="shared" si="3"/>
        <v>23.32</v>
      </c>
      <c r="F68" s="581">
        <f t="shared" si="4"/>
        <v>17.14</v>
      </c>
      <c r="G68" s="591">
        <f t="shared" si="5"/>
        <v>17.14</v>
      </c>
      <c r="H68" s="583">
        <f t="shared" si="6"/>
        <v>4.165603796252423</v>
      </c>
      <c r="I68" s="584">
        <f t="shared" si="7"/>
        <v>24.23</v>
      </c>
      <c r="J68" s="584">
        <f t="shared" si="8"/>
        <v>23.66</v>
      </c>
      <c r="K68" s="585">
        <f t="shared" si="9"/>
        <v>16.98</v>
      </c>
      <c r="L68" s="163"/>
      <c r="N68" s="17"/>
      <c r="O68" s="18"/>
    </row>
    <row r="69" spans="1:12" ht="12.75">
      <c r="A69" s="163"/>
      <c r="B69" s="163"/>
      <c r="C69" s="163"/>
      <c r="D69" s="163"/>
      <c r="E69" s="163"/>
      <c r="F69" s="163"/>
      <c r="G69" s="163"/>
      <c r="H69" s="163"/>
      <c r="I69" s="163"/>
      <c r="J69" s="163"/>
      <c r="K69" s="163"/>
      <c r="L69" s="163"/>
    </row>
  </sheetData>
  <sheetProtection password="C784" sheet="1" objects="1" scenarios="1"/>
  <dataValidations count="14">
    <dataValidation allowBlank="1" showInputMessage="1" showErrorMessage="1" promptTitle="RADNI FLUIDI" prompt="Tecnost bez promene faze" sqref="K7 G7"/>
    <dataValidation allowBlank="1" showInputMessage="1" showErrorMessage="1" prompt="Obavezan podatak" sqref="G8:G10 A32 K8:K10 I16"/>
    <dataValidation allowBlank="1" showInputMessage="1" showErrorMessage="1" prompt="Opcioni  podatak, ako je fiksirana kontrolna temperatura" sqref="E30 J30 G30"/>
    <dataValidation allowBlank="1" showInputMessage="1" showErrorMessage="1" prompt="Obavezan podatak za srednju temperaturu" sqref="G13 K13 G23 K23"/>
    <dataValidation allowBlank="1" showInputMessage="1" showErrorMessage="1" promptTitle="Na strani primara" prompt="Opcioni podatak, ako nije zadat mora biti zadat kontrolni rezim" sqref="G15"/>
    <dataValidation allowBlank="1" showInputMessage="1" showErrorMessage="1" prompt="Opcioni podatak, ako nije zadat mora biti zadata termicka karakteristika" sqref="G19 K20"/>
    <dataValidation allowBlank="1" showInputMessage="1" showErrorMessage="1" prompt="Ne moze biti izlazna temperatura primara manja od izlazne sekundara" errorTitle="GRESKA  UNOSA" error="Ne moze biti izlazna temperatura primara manja od ulazne sekundara" sqref="G20"/>
    <dataValidation allowBlank="1" showInputMessage="1" showErrorMessage="1" prompt="Ne moze biti izlazna temperatura sekundara veca od ulazne primara" sqref="K19"/>
    <dataValidation allowBlank="1" showInputMessage="1" showErrorMessage="1" promptTitle="Na strani sekundara" prompt="Opcioni podatak, ako nije zadat mora biti zadat kontrolni rezim" sqref="J15"/>
    <dataValidation allowBlank="1" showInputMessage="1" showErrorMessage="1" promptTitle="Na strani sekundara" prompt="Racunska termicka karakteristika iz kontrolnog rezima" sqref="K15"/>
    <dataValidation allowBlank="1" showInputMessage="1" showErrorMessage="1" promptTitle="Na strani primara" prompt="Racunaska termicka karakteristika iz kontrolnog rezima" sqref="H15"/>
    <dataValidation allowBlank="1" showInputMessage="1" showErrorMessage="1" promptTitle="Usvojena termicka karekteristika" prompt="Usvajanje na bazi da li je zadat kontrolni rezim ili sama karakteristika" sqref="K27 G27"/>
    <dataValidation allowBlank="1" showInputMessage="1" showErrorMessage="1" promptTitle="Temperatura razvoda i povrata" prompt="Za zadatu termicku karakteristiku to je racunska vrednost&#10;Za zadati kontrolni rezim je usvojena" sqref="G28:G29 K28:K29"/>
    <dataValidation allowBlank="1" showInputMessage="1" showErrorMessage="1" promptTitle="Kontrolni toplotni kapacitet " prompt="Toplotni kapacitet za kontrolnu spoljnju temperaturu  " sqref="I28"/>
  </dataValidations>
  <printOptions/>
  <pageMargins left="0.75" right="0.25" top="0.6" bottom="0.2" header="0.5" footer="0.5"/>
  <pageSetup horizontalDpi="300" verticalDpi="300" orientation="portrait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18"/>
  <sheetViews>
    <sheetView showGridLines="0" workbookViewId="0" topLeftCell="A1">
      <selection activeCell="E28" sqref="E28"/>
    </sheetView>
  </sheetViews>
  <sheetFormatPr defaultColWidth="9.140625" defaultRowHeight="12.75"/>
  <cols>
    <col min="1" max="12" width="9.00390625" style="99" customWidth="1"/>
    <col min="13" max="18" width="9.00390625" style="104" customWidth="1"/>
    <col min="19" max="16384" width="9.140625" style="104" customWidth="1"/>
  </cols>
  <sheetData>
    <row r="1" s="10" customFormat="1" ht="12.75" customHeight="1">
      <c r="M1" s="659" t="str">
        <f>GEOMETRIJA!M1</f>
        <v>ver.: v2, jun 2002.</v>
      </c>
    </row>
    <row r="2" s="10" customFormat="1" ht="12.75" customHeight="1">
      <c r="M2" s="103"/>
    </row>
    <row r="3" s="10" customFormat="1" ht="12.75" customHeight="1">
      <c r="M3" s="103"/>
    </row>
    <row r="4" s="10" customFormat="1" ht="12.75" customHeight="1">
      <c r="M4" s="103"/>
    </row>
    <row r="5" s="10" customFormat="1" ht="12.75" customHeight="1"/>
    <row r="6" s="26" customFormat="1" ht="15.75" customHeight="1"/>
    <row r="7" spans="1:18" s="101" customFormat="1" ht="15.75" customHeight="1">
      <c r="A7" s="1082"/>
      <c r="B7" s="279"/>
      <c r="C7" s="990" t="s">
        <v>101</v>
      </c>
      <c r="D7" s="1083" t="s">
        <v>935</v>
      </c>
      <c r="E7" s="1083"/>
      <c r="F7" s="1083"/>
      <c r="G7" s="1083"/>
      <c r="H7" s="1083"/>
      <c r="I7" s="1083"/>
      <c r="J7" s="1083"/>
      <c r="K7" s="279"/>
      <c r="L7" s="1084"/>
      <c r="M7" s="1082"/>
      <c r="O7" s="105"/>
      <c r="P7" s="106"/>
      <c r="Q7" s="102"/>
      <c r="R7" s="102"/>
    </row>
    <row r="8" spans="1:16" s="101" customFormat="1" ht="15.75" customHeight="1">
      <c r="A8" s="1085" t="s">
        <v>198</v>
      </c>
      <c r="B8" s="1086"/>
      <c r="C8" s="1087"/>
      <c r="D8" s="598"/>
      <c r="E8" s="805" t="s">
        <v>634</v>
      </c>
      <c r="F8" s="140">
        <v>150</v>
      </c>
      <c r="G8" s="595"/>
      <c r="H8" s="888" t="s">
        <v>934</v>
      </c>
      <c r="I8" s="1086"/>
      <c r="J8" s="1087"/>
      <c r="K8" s="600"/>
      <c r="L8" s="690" t="s">
        <v>657</v>
      </c>
      <c r="M8" s="81">
        <v>500</v>
      </c>
      <c r="N8" s="107"/>
      <c r="P8" s="108"/>
    </row>
    <row r="9" spans="1:13" s="101" customFormat="1" ht="15.75" customHeight="1">
      <c r="A9" s="1085" t="s">
        <v>199</v>
      </c>
      <c r="B9" s="1086"/>
      <c r="C9" s="1087"/>
      <c r="D9" s="598"/>
      <c r="E9" s="805" t="s">
        <v>652</v>
      </c>
      <c r="F9" s="140">
        <v>100</v>
      </c>
      <c r="G9" s="601"/>
      <c r="H9" s="888" t="s">
        <v>936</v>
      </c>
      <c r="I9" s="1086"/>
      <c r="J9" s="1087"/>
      <c r="K9" s="600"/>
      <c r="L9" s="690" t="s">
        <v>658</v>
      </c>
      <c r="M9" s="81">
        <v>0</v>
      </c>
    </row>
    <row r="10" spans="1:18" s="101" customFormat="1" ht="15.75" customHeight="1">
      <c r="A10" s="1088" t="s">
        <v>200</v>
      </c>
      <c r="B10" s="1089"/>
      <c r="C10" s="1090"/>
      <c r="D10" s="602"/>
      <c r="E10" s="722" t="s">
        <v>653</v>
      </c>
      <c r="F10" s="140">
        <v>25</v>
      </c>
      <c r="G10" s="594"/>
      <c r="H10" s="888" t="s">
        <v>223</v>
      </c>
      <c r="I10" s="1086"/>
      <c r="J10" s="1093" t="s">
        <v>933</v>
      </c>
      <c r="K10" s="81" t="s">
        <v>100</v>
      </c>
      <c r="L10" s="81">
        <v>18</v>
      </c>
      <c r="M10" s="81">
        <v>16</v>
      </c>
      <c r="N10" s="99"/>
      <c r="P10" s="99"/>
      <c r="Q10" s="99"/>
      <c r="R10" s="99"/>
    </row>
    <row r="11" spans="1:13" s="99" customFormat="1" ht="15.75" customHeight="1">
      <c r="A11" s="1088" t="s">
        <v>201</v>
      </c>
      <c r="B11" s="1089"/>
      <c r="C11" s="1089"/>
      <c r="D11" s="602"/>
      <c r="E11" s="722" t="s">
        <v>654</v>
      </c>
      <c r="F11" s="140">
        <v>10</v>
      </c>
      <c r="G11" s="603"/>
      <c r="H11" s="883" t="s">
        <v>222</v>
      </c>
      <c r="I11" s="1094"/>
      <c r="J11" s="1095"/>
      <c r="K11" s="604"/>
      <c r="L11" s="690" t="s">
        <v>659</v>
      </c>
      <c r="M11" s="81">
        <v>19.5</v>
      </c>
    </row>
    <row r="12" spans="1:15" s="99" customFormat="1" ht="15.75" customHeight="1">
      <c r="A12" s="1088" t="s">
        <v>202</v>
      </c>
      <c r="B12" s="1089"/>
      <c r="C12" s="1091"/>
      <c r="D12" s="32">
        <v>1.5</v>
      </c>
      <c r="E12" s="722" t="s">
        <v>655</v>
      </c>
      <c r="F12" s="216">
        <f>D12*F10</f>
        <v>37.5</v>
      </c>
      <c r="G12" s="595"/>
      <c r="H12" s="888" t="s">
        <v>267</v>
      </c>
      <c r="I12" s="1086"/>
      <c r="J12" s="1087"/>
      <c r="K12" s="600"/>
      <c r="L12" s="690" t="s">
        <v>660</v>
      </c>
      <c r="M12" s="81">
        <v>12</v>
      </c>
      <c r="N12" s="109"/>
      <c r="O12" s="109"/>
    </row>
    <row r="13" spans="1:13" s="99" customFormat="1" ht="18.75">
      <c r="A13" s="1088" t="s">
        <v>203</v>
      </c>
      <c r="B13" s="1089"/>
      <c r="C13" s="1092"/>
      <c r="D13" s="81">
        <v>1.5</v>
      </c>
      <c r="E13" s="722" t="s">
        <v>656</v>
      </c>
      <c r="F13" s="216">
        <f>D13*F11</f>
        <v>15</v>
      </c>
      <c r="G13" s="603"/>
      <c r="H13" s="603"/>
      <c r="I13" s="603"/>
      <c r="J13" s="603"/>
      <c r="K13" s="603"/>
      <c r="L13" s="603"/>
      <c r="M13" s="603"/>
    </row>
    <row r="14" spans="1:13" s="99" customFormat="1" ht="15">
      <c r="A14" s="1088" t="s">
        <v>204</v>
      </c>
      <c r="B14" s="1089"/>
      <c r="C14" s="1089"/>
      <c r="D14" s="602"/>
      <c r="E14" s="934" t="s">
        <v>205</v>
      </c>
      <c r="F14" s="605"/>
      <c r="G14" s="603"/>
      <c r="H14" s="603"/>
      <c r="I14" s="603"/>
      <c r="J14" s="603"/>
      <c r="K14" s="603"/>
      <c r="L14" s="603"/>
      <c r="M14" s="603"/>
    </row>
    <row r="15" spans="1:22" s="99" customFormat="1" ht="14.25">
      <c r="A15" s="603"/>
      <c r="B15" s="603"/>
      <c r="C15" s="603"/>
      <c r="D15" s="603"/>
      <c r="E15" s="603"/>
      <c r="F15" s="603"/>
      <c r="G15" s="603"/>
      <c r="H15" s="603"/>
      <c r="I15" s="603"/>
      <c r="J15" s="603"/>
      <c r="K15" s="603"/>
      <c r="L15" s="603"/>
      <c r="M15" s="603"/>
      <c r="N15" s="111"/>
      <c r="O15" s="111"/>
      <c r="P15" s="111"/>
      <c r="Q15" s="111"/>
      <c r="R15" s="111"/>
      <c r="S15" s="111"/>
      <c r="T15" s="111"/>
      <c r="U15" s="111"/>
      <c r="V15" s="111"/>
    </row>
    <row r="16" spans="1:23" s="99" customFormat="1" ht="15">
      <c r="A16" s="603"/>
      <c r="B16" s="606"/>
      <c r="C16" s="603"/>
      <c r="D16" s="1096" t="s">
        <v>101</v>
      </c>
      <c r="E16" s="1097" t="s">
        <v>964</v>
      </c>
      <c r="F16" s="1098"/>
      <c r="G16" s="1098"/>
      <c r="H16" s="1097"/>
      <c r="I16" s="1097"/>
      <c r="J16" s="1099"/>
      <c r="K16" s="1097"/>
      <c r="L16" s="607"/>
      <c r="M16" s="603"/>
      <c r="N16" s="113"/>
      <c r="O16" s="114"/>
      <c r="P16" s="111"/>
      <c r="Q16" s="111"/>
      <c r="R16" s="114"/>
      <c r="S16" s="114"/>
      <c r="T16" s="114"/>
      <c r="U16" s="114"/>
      <c r="V16" s="114"/>
      <c r="W16" s="110"/>
    </row>
    <row r="17" spans="1:23" s="99" customFormat="1" ht="15">
      <c r="A17" s="1100" t="s">
        <v>215</v>
      </c>
      <c r="B17" s="1101"/>
      <c r="C17" s="1102"/>
      <c r="D17" s="523" t="s">
        <v>217</v>
      </c>
      <c r="E17" s="1114" t="s">
        <v>944</v>
      </c>
      <c r="F17" s="628"/>
      <c r="G17" s="630" t="s">
        <v>216</v>
      </c>
      <c r="H17" s="603"/>
      <c r="I17" s="1133" t="s">
        <v>909</v>
      </c>
      <c r="J17" s="1114" t="s">
        <v>944</v>
      </c>
      <c r="K17" s="628"/>
      <c r="L17" s="630" t="s">
        <v>216</v>
      </c>
      <c r="M17" s="603"/>
      <c r="O17" s="116"/>
      <c r="P17" s="117"/>
      <c r="Q17" s="13"/>
      <c r="R17" s="13"/>
      <c r="S17" s="111"/>
      <c r="T17" s="114"/>
      <c r="U17" s="111"/>
      <c r="V17" s="111"/>
      <c r="W17" s="110"/>
    </row>
    <row r="18" spans="1:23" s="99" customFormat="1" ht="15">
      <c r="A18" s="1103" t="s">
        <v>937</v>
      </c>
      <c r="B18" s="1104"/>
      <c r="C18" s="1105"/>
      <c r="D18" s="32" t="s">
        <v>206</v>
      </c>
      <c r="E18" s="608" t="s">
        <v>220</v>
      </c>
      <c r="F18" s="608" t="s">
        <v>221</v>
      </c>
      <c r="H18" s="603"/>
      <c r="I18" s="32" t="s">
        <v>206</v>
      </c>
      <c r="J18" s="608" t="s">
        <v>220</v>
      </c>
      <c r="K18" s="608" t="s">
        <v>221</v>
      </c>
      <c r="M18" s="603"/>
      <c r="O18" s="113"/>
      <c r="P18" s="113"/>
      <c r="Q18" s="13"/>
      <c r="R18" s="13"/>
      <c r="S18" s="111"/>
      <c r="T18" s="114"/>
      <c r="U18" s="111"/>
      <c r="V18" s="111"/>
      <c r="W18" s="110"/>
    </row>
    <row r="19" spans="1:23" s="99" customFormat="1" ht="15">
      <c r="A19" s="1085" t="s">
        <v>207</v>
      </c>
      <c r="B19" s="1086"/>
      <c r="C19" s="1089"/>
      <c r="D19" s="599" t="s">
        <v>196</v>
      </c>
      <c r="E19" s="141" t="s">
        <v>941</v>
      </c>
      <c r="F19" s="141" t="s">
        <v>942</v>
      </c>
      <c r="G19" s="141" t="s">
        <v>943</v>
      </c>
      <c r="H19" s="829"/>
      <c r="I19" s="536" t="s">
        <v>196</v>
      </c>
      <c r="J19" s="141" t="s">
        <v>941</v>
      </c>
      <c r="K19" s="141" t="s">
        <v>942</v>
      </c>
      <c r="L19" s="141" t="s">
        <v>943</v>
      </c>
      <c r="M19" s="603"/>
      <c r="O19" s="113"/>
      <c r="P19" s="113"/>
      <c r="Q19" s="114"/>
      <c r="R19" s="114"/>
      <c r="S19" s="111"/>
      <c r="T19" s="114"/>
      <c r="U19" s="111"/>
      <c r="V19" s="111"/>
      <c r="W19" s="110"/>
    </row>
    <row r="20" spans="1:23" s="99" customFormat="1" ht="16.5" customHeight="1">
      <c r="A20" s="1103" t="s">
        <v>938</v>
      </c>
      <c r="B20" s="1104"/>
      <c r="C20" s="1106"/>
      <c r="D20" s="718" t="s">
        <v>661</v>
      </c>
      <c r="E20" s="216">
        <f>IF(E14="REGISTAR",F8,F9)</f>
        <v>150</v>
      </c>
      <c r="F20" s="216">
        <f>E20</f>
        <v>150</v>
      </c>
      <c r="G20" s="609">
        <f>E20</f>
        <v>150</v>
      </c>
      <c r="H20" s="603"/>
      <c r="I20" s="718" t="s">
        <v>661</v>
      </c>
      <c r="J20" s="216">
        <f>IF(E14="REGISTAR",F9,F8)</f>
        <v>100</v>
      </c>
      <c r="K20" s="216">
        <f>J20</f>
        <v>100</v>
      </c>
      <c r="L20" s="610">
        <f>J20</f>
        <v>100</v>
      </c>
      <c r="M20" s="603"/>
      <c r="O20" s="113"/>
      <c r="P20" s="113"/>
      <c r="Q20" s="114"/>
      <c r="R20" s="114"/>
      <c r="S20" s="111"/>
      <c r="T20" s="114"/>
      <c r="U20" s="111"/>
      <c r="V20" s="111"/>
      <c r="W20" s="110"/>
    </row>
    <row r="21" spans="1:23" s="99" customFormat="1" ht="16.5" customHeight="1">
      <c r="A21" s="1107" t="s">
        <v>939</v>
      </c>
      <c r="B21" s="1108"/>
      <c r="C21" s="1109"/>
      <c r="D21" s="722" t="s">
        <v>662</v>
      </c>
      <c r="E21" s="216">
        <f>IF(E14="REGISTAR",F10,F11)</f>
        <v>25</v>
      </c>
      <c r="F21" s="216">
        <f>E21</f>
        <v>25</v>
      </c>
      <c r="G21" s="609">
        <f>E21</f>
        <v>25</v>
      </c>
      <c r="H21" s="603"/>
      <c r="I21" s="722" t="s">
        <v>662</v>
      </c>
      <c r="J21" s="216">
        <f>IF(E14="REGISTAR",F11,F10)</f>
        <v>10</v>
      </c>
      <c r="K21" s="216">
        <f>J21</f>
        <v>10</v>
      </c>
      <c r="L21" s="610">
        <f>J21</f>
        <v>10</v>
      </c>
      <c r="M21" s="603"/>
      <c r="O21" s="113"/>
      <c r="P21" s="113"/>
      <c r="Q21" s="114"/>
      <c r="R21" s="114"/>
      <c r="S21" s="111"/>
      <c r="T21" s="114"/>
      <c r="U21" s="111"/>
      <c r="V21" s="111"/>
      <c r="W21" s="110"/>
    </row>
    <row r="22" spans="1:23" s="99" customFormat="1" ht="15">
      <c r="A22" s="1085" t="s">
        <v>940</v>
      </c>
      <c r="B22" s="1086"/>
      <c r="C22" s="1089"/>
      <c r="D22" s="827" t="s">
        <v>663</v>
      </c>
      <c r="E22" s="140">
        <v>226</v>
      </c>
      <c r="F22" s="593">
        <v>226</v>
      </c>
      <c r="G22" s="140">
        <v>226</v>
      </c>
      <c r="H22" s="603"/>
      <c r="I22" s="827" t="s">
        <v>663</v>
      </c>
      <c r="J22" s="140">
        <v>187</v>
      </c>
      <c r="K22" s="593">
        <v>187</v>
      </c>
      <c r="L22" s="140">
        <v>187</v>
      </c>
      <c r="M22" s="603"/>
      <c r="O22" s="114"/>
      <c r="P22" s="118"/>
      <c r="Q22" s="113"/>
      <c r="R22" s="113"/>
      <c r="S22" s="115"/>
      <c r="T22" s="114"/>
      <c r="U22" s="111"/>
      <c r="V22" s="111"/>
      <c r="W22" s="110"/>
    </row>
    <row r="23" spans="1:23" s="99" customFormat="1" ht="15">
      <c r="A23" s="1085" t="s">
        <v>945</v>
      </c>
      <c r="B23" s="1086"/>
      <c r="C23" s="1089"/>
      <c r="D23" s="827" t="s">
        <v>664</v>
      </c>
      <c r="E23" s="592">
        <f>1.98*10^5</f>
        <v>198000</v>
      </c>
      <c r="F23" s="611"/>
      <c r="G23" s="612"/>
      <c r="H23" s="603"/>
      <c r="I23" s="827" t="s">
        <v>664</v>
      </c>
      <c r="J23" s="592">
        <f>2.03*10^5</f>
        <v>202999.99999999997</v>
      </c>
      <c r="K23" s="611"/>
      <c r="L23" s="603"/>
      <c r="M23" s="603"/>
      <c r="N23" s="125"/>
      <c r="O23" s="113"/>
      <c r="P23" s="119"/>
      <c r="Q23" s="114"/>
      <c r="R23" s="114"/>
      <c r="S23" s="111"/>
      <c r="T23" s="114"/>
      <c r="U23" s="111"/>
      <c r="V23" s="111"/>
      <c r="W23" s="110"/>
    </row>
    <row r="24" spans="1:23" s="99" customFormat="1" ht="15.75">
      <c r="A24" s="1100" t="s">
        <v>208</v>
      </c>
      <c r="B24" s="1094"/>
      <c r="C24" s="1101"/>
      <c r="D24" s="830" t="s">
        <v>665</v>
      </c>
      <c r="E24" s="140">
        <v>1.5</v>
      </c>
      <c r="F24" s="613">
        <f>E24</f>
        <v>1.5</v>
      </c>
      <c r="G24" s="216">
        <f>E24</f>
        <v>1.5</v>
      </c>
      <c r="H24" s="603"/>
      <c r="I24" s="830" t="s">
        <v>665</v>
      </c>
      <c r="J24" s="140">
        <v>1.5</v>
      </c>
      <c r="K24" s="614">
        <f>J24</f>
        <v>1.5</v>
      </c>
      <c r="L24" s="216">
        <f>J24</f>
        <v>1.5</v>
      </c>
      <c r="M24" s="603"/>
      <c r="O24" s="113"/>
      <c r="P24" s="113"/>
      <c r="Q24" s="114"/>
      <c r="R24" s="114"/>
      <c r="S24" s="114"/>
      <c r="T24" s="114"/>
      <c r="U24" s="111"/>
      <c r="V24" s="111"/>
      <c r="W24" s="110"/>
    </row>
    <row r="25" spans="1:23" s="99" customFormat="1" ht="15.75">
      <c r="A25" s="1107" t="s">
        <v>214</v>
      </c>
      <c r="B25" s="1108"/>
      <c r="C25" s="1109"/>
      <c r="D25" s="830" t="s">
        <v>666</v>
      </c>
      <c r="E25" s="140">
        <v>1</v>
      </c>
      <c r="F25" s="216">
        <f>E25</f>
        <v>1</v>
      </c>
      <c r="G25" s="615"/>
      <c r="H25" s="603"/>
      <c r="I25" s="830" t="s">
        <v>666</v>
      </c>
      <c r="J25" s="140">
        <v>1</v>
      </c>
      <c r="K25" s="216">
        <f>J25</f>
        <v>1</v>
      </c>
      <c r="L25" s="603"/>
      <c r="M25" s="603"/>
      <c r="N25" s="126"/>
      <c r="O25" s="113"/>
      <c r="P25" s="113"/>
      <c r="Q25" s="119"/>
      <c r="R25" s="120"/>
      <c r="S25" s="121"/>
      <c r="T25" s="113"/>
      <c r="U25" s="111"/>
      <c r="V25" s="111"/>
      <c r="W25" s="110"/>
    </row>
    <row r="26" spans="1:23" s="99" customFormat="1" ht="15.75" customHeight="1">
      <c r="A26" s="1100" t="s">
        <v>209</v>
      </c>
      <c r="B26" s="1094"/>
      <c r="C26" s="1101"/>
      <c r="D26" s="831" t="s">
        <v>667</v>
      </c>
      <c r="E26" s="216">
        <f>IF(E34&lt;10,0.3,IF(E34&lt;30,0.5,IF(E34&lt;50,0.8,1)))</f>
        <v>0.3</v>
      </c>
      <c r="F26" s="216">
        <f>IF(F34&lt;10,0.3,IF(F34&lt;30,0.5,IF(F34&lt;50,0.8,1)))</f>
        <v>0.3</v>
      </c>
      <c r="G26" s="612"/>
      <c r="H26" s="603"/>
      <c r="I26" s="831" t="s">
        <v>667</v>
      </c>
      <c r="J26" s="216">
        <f>IF(J34&lt;10,0.3,IF(J34&lt;30,0.5,IF(J34&lt;50,0.8,1)))</f>
        <v>0.3</v>
      </c>
      <c r="K26" s="216">
        <f>IF(K34&lt;10,0.3,IF(K34&lt;30,0.5,IF(K34&lt;50,0.8,1)))</f>
        <v>0.3</v>
      </c>
      <c r="L26" s="603"/>
      <c r="M26" s="603"/>
      <c r="N26" s="125"/>
      <c r="O26" s="114"/>
      <c r="P26" s="114"/>
      <c r="Q26" s="114"/>
      <c r="R26" s="114"/>
      <c r="S26" s="114"/>
      <c r="T26" s="114"/>
      <c r="U26" s="111"/>
      <c r="V26" s="111"/>
      <c r="W26" s="110"/>
    </row>
    <row r="27" spans="1:22" s="99" customFormat="1" ht="15.75" customHeight="1">
      <c r="A27" s="1107" t="s">
        <v>210</v>
      </c>
      <c r="B27" s="1108"/>
      <c r="C27" s="1109"/>
      <c r="D27" s="831" t="s">
        <v>668</v>
      </c>
      <c r="E27" s="216">
        <f>IF(E34&lt;30,1,0)</f>
        <v>1</v>
      </c>
      <c r="F27" s="216">
        <f>IF(F34&lt;30,1,0)</f>
        <v>1</v>
      </c>
      <c r="G27" s="612"/>
      <c r="H27" s="603"/>
      <c r="I27" s="831" t="s">
        <v>668</v>
      </c>
      <c r="J27" s="216">
        <f>IF(J34&lt;30,1,0)</f>
        <v>1</v>
      </c>
      <c r="K27" s="216">
        <f>IF(K34&lt;30,1,0)</f>
        <v>1</v>
      </c>
      <c r="L27" s="603"/>
      <c r="M27" s="603"/>
      <c r="N27" s="125"/>
      <c r="O27" s="113"/>
      <c r="P27" s="111"/>
      <c r="Q27" s="114"/>
      <c r="R27" s="114"/>
      <c r="S27" s="114"/>
      <c r="T27" s="114"/>
      <c r="U27" s="114"/>
      <c r="V27" s="111"/>
    </row>
    <row r="28" spans="1:22" s="99" customFormat="1" ht="15">
      <c r="A28" s="1085" t="s">
        <v>946</v>
      </c>
      <c r="B28" s="1086"/>
      <c r="C28" s="1089"/>
      <c r="D28" s="831" t="s">
        <v>256</v>
      </c>
      <c r="E28" s="216">
        <f>M8*E21*E31/(40*E22*E25/E24)+E26+E27</f>
        <v>6.692699115044247</v>
      </c>
      <c r="F28" s="216">
        <f>M8*F21/(40*F22*F25/F24+F21)+F26+F27</f>
        <v>3.3655466813549983</v>
      </c>
      <c r="G28" s="216">
        <f>G32*G33*(G21*G24/(10*G22))^0.5</f>
        <v>31.172869415737452</v>
      </c>
      <c r="H28" s="603"/>
      <c r="I28" s="831" t="s">
        <v>256</v>
      </c>
      <c r="J28" s="216">
        <f>M8*J21*J31/(40*J22*J25/J24)+J26+J27</f>
        <v>4.308021390374331</v>
      </c>
      <c r="K28" s="216">
        <f>M8*K21/(40*K22*K25/K24+K21)+K26+K27</f>
        <v>2.300667111407605</v>
      </c>
      <c r="L28" s="216">
        <f>L32*L33*(L21*L24/(10*L22))^0.5</f>
        <v>21.94274270047506</v>
      </c>
      <c r="M28" s="603"/>
      <c r="O28" s="113"/>
      <c r="P28" s="114"/>
      <c r="Q28" s="114"/>
      <c r="R28" s="122"/>
      <c r="S28" s="114"/>
      <c r="T28" s="123"/>
      <c r="U28" s="112"/>
      <c r="V28" s="111"/>
    </row>
    <row r="29" spans="1:22" s="99" customFormat="1" ht="16.5">
      <c r="A29" s="1100" t="s">
        <v>211</v>
      </c>
      <c r="B29" s="1094"/>
      <c r="C29" s="1101"/>
      <c r="D29" s="828" t="s">
        <v>669</v>
      </c>
      <c r="E29" s="216">
        <f>(E34-E26-E27)/M8</f>
        <v>0.0134</v>
      </c>
      <c r="F29" s="612"/>
      <c r="G29" s="612"/>
      <c r="H29" s="603"/>
      <c r="I29" s="828" t="s">
        <v>669</v>
      </c>
      <c r="J29" s="216">
        <f>(J34-J26-J27)/M8</f>
        <v>0.0074</v>
      </c>
      <c r="K29" s="612"/>
      <c r="L29" s="612"/>
      <c r="M29" s="603"/>
      <c r="N29" s="134"/>
      <c r="O29" s="134"/>
      <c r="P29" s="122"/>
      <c r="Q29" s="114"/>
      <c r="R29" s="114"/>
      <c r="S29" s="114"/>
      <c r="T29" s="123"/>
      <c r="U29" s="112"/>
      <c r="V29" s="111"/>
    </row>
    <row r="30" spans="1:15" s="99" customFormat="1" ht="16.5" customHeight="1">
      <c r="A30" s="1107" t="s">
        <v>211</v>
      </c>
      <c r="B30" s="1108"/>
      <c r="C30" s="1109"/>
      <c r="D30" s="826" t="s">
        <v>670</v>
      </c>
      <c r="E30" s="216">
        <f>M9/M8</f>
        <v>0</v>
      </c>
      <c r="F30" s="612"/>
      <c r="G30" s="626"/>
      <c r="H30" s="603"/>
      <c r="I30" s="826" t="s">
        <v>670</v>
      </c>
      <c r="J30" s="216">
        <f>M9/M8</f>
        <v>0</v>
      </c>
      <c r="K30" s="612"/>
      <c r="L30" s="626"/>
      <c r="M30" s="603"/>
      <c r="N30" s="127"/>
      <c r="O30" s="46"/>
    </row>
    <row r="31" spans="1:15" s="99" customFormat="1" ht="15.75">
      <c r="A31" s="1100" t="s">
        <v>947</v>
      </c>
      <c r="B31" s="1094"/>
      <c r="C31" s="1101"/>
      <c r="D31" s="803" t="s">
        <v>671</v>
      </c>
      <c r="E31" s="81">
        <v>2.6</v>
      </c>
      <c r="F31" s="616"/>
      <c r="G31" s="616"/>
      <c r="H31" s="603"/>
      <c r="I31" s="803" t="s">
        <v>671</v>
      </c>
      <c r="J31" s="89">
        <v>3</v>
      </c>
      <c r="K31" s="616"/>
      <c r="L31" s="616"/>
      <c r="M31" s="603"/>
      <c r="N31" s="111"/>
      <c r="O31" s="125"/>
    </row>
    <row r="32" spans="1:13" s="99" customFormat="1" ht="15.75">
      <c r="A32" s="1107" t="s">
        <v>947</v>
      </c>
      <c r="B32" s="1108"/>
      <c r="C32" s="1109"/>
      <c r="D32" s="830" t="s">
        <v>672</v>
      </c>
      <c r="E32" s="616"/>
      <c r="F32" s="616"/>
      <c r="G32" s="81">
        <v>0.5</v>
      </c>
      <c r="H32" s="603"/>
      <c r="I32" s="830" t="s">
        <v>672</v>
      </c>
      <c r="J32" s="616"/>
      <c r="K32" s="616"/>
      <c r="L32" s="81">
        <v>0.5</v>
      </c>
      <c r="M32" s="603"/>
    </row>
    <row r="33" spans="1:13" s="99" customFormat="1" ht="16.5">
      <c r="A33" s="1107" t="s">
        <v>948</v>
      </c>
      <c r="B33" s="1108"/>
      <c r="C33" s="1109"/>
      <c r="D33" s="831" t="s">
        <v>673</v>
      </c>
      <c r="E33" s="616"/>
      <c r="F33" s="616"/>
      <c r="G33" s="216">
        <f>M8-2*E51</f>
        <v>484</v>
      </c>
      <c r="H33" s="603"/>
      <c r="I33" s="831" t="s">
        <v>673</v>
      </c>
      <c r="J33" s="616"/>
      <c r="K33" s="616"/>
      <c r="L33" s="216">
        <f>M8-2*H51</f>
        <v>490</v>
      </c>
      <c r="M33" s="603"/>
    </row>
    <row r="34" spans="1:13" s="99" customFormat="1" ht="16.5">
      <c r="A34" s="1085" t="s">
        <v>212</v>
      </c>
      <c r="B34" s="1086"/>
      <c r="C34" s="1089"/>
      <c r="D34" s="831" t="s">
        <v>674</v>
      </c>
      <c r="E34" s="81">
        <v>8</v>
      </c>
      <c r="F34" s="89">
        <v>8</v>
      </c>
      <c r="G34" s="81">
        <v>40</v>
      </c>
      <c r="H34" s="603"/>
      <c r="I34" s="831" t="s">
        <v>674</v>
      </c>
      <c r="J34" s="89">
        <v>5</v>
      </c>
      <c r="K34" s="89">
        <v>5</v>
      </c>
      <c r="L34" s="89">
        <v>36</v>
      </c>
      <c r="M34" s="603"/>
    </row>
    <row r="35" spans="1:13" s="99" customFormat="1" ht="18.75">
      <c r="A35" s="1085" t="s">
        <v>211</v>
      </c>
      <c r="B35" s="1086"/>
      <c r="C35" s="1089"/>
      <c r="D35" s="830" t="s">
        <v>675</v>
      </c>
      <c r="E35" s="81">
        <v>7000</v>
      </c>
      <c r="F35" s="603"/>
      <c r="G35" s="603"/>
      <c r="H35" s="603"/>
      <c r="I35" s="830" t="s">
        <v>675</v>
      </c>
      <c r="J35" s="81">
        <v>7000</v>
      </c>
      <c r="K35" s="603"/>
      <c r="L35" s="603"/>
      <c r="M35" s="603"/>
    </row>
    <row r="36" spans="1:14" s="99" customFormat="1" ht="18.75">
      <c r="A36" s="1106" t="s">
        <v>213</v>
      </c>
      <c r="B36" s="1104"/>
      <c r="C36" s="1106"/>
      <c r="D36" s="722" t="s">
        <v>676</v>
      </c>
      <c r="E36" s="617">
        <f>E35*10^6/(E23*10^5)</f>
        <v>0.35353535353535354</v>
      </c>
      <c r="F36" s="603"/>
      <c r="G36" s="603"/>
      <c r="H36" s="603"/>
      <c r="I36" s="722" t="s">
        <v>676</v>
      </c>
      <c r="J36" s="617">
        <f>J35*10^6/(J23*10^5)</f>
        <v>0.34482758620689663</v>
      </c>
      <c r="K36" s="603"/>
      <c r="L36" s="603"/>
      <c r="M36" s="603"/>
      <c r="N36" s="127"/>
    </row>
    <row r="37" spans="1:15" s="99" customFormat="1" ht="16.5" customHeight="1">
      <c r="A37" s="1100" t="s">
        <v>218</v>
      </c>
      <c r="B37" s="1094"/>
      <c r="C37" s="1102"/>
      <c r="D37" s="826" t="s">
        <v>677</v>
      </c>
      <c r="E37" s="1115" t="str">
        <f>IF(E36&gt;1.5*E21,"&gt;","&lt;")</f>
        <v>&lt;</v>
      </c>
      <c r="F37" s="536" t="s">
        <v>678</v>
      </c>
      <c r="G37" s="603"/>
      <c r="H37" s="603"/>
      <c r="I37" s="826" t="s">
        <v>677</v>
      </c>
      <c r="J37" s="1115" t="str">
        <f>IF(J36&gt;1.5*J21,"&gt;","&lt;")</f>
        <v>&lt;</v>
      </c>
      <c r="K37" s="536" t="s">
        <v>678</v>
      </c>
      <c r="L37" s="603"/>
      <c r="M37" s="603"/>
      <c r="O37" s="111"/>
    </row>
    <row r="38" spans="1:13" s="99" customFormat="1" ht="15">
      <c r="A38" s="1107" t="s">
        <v>219</v>
      </c>
      <c r="B38" s="1108"/>
      <c r="C38" s="1110"/>
      <c r="D38" s="1111" t="str">
        <f>IF(E37="&lt;","NEMA ULUBLJIVANJA","IMA ULUBLJIVANJA")</f>
        <v>NEMA ULUBLJIVANJA</v>
      </c>
      <c r="E38" s="1112"/>
      <c r="F38" s="1113"/>
      <c r="G38" s="1098"/>
      <c r="H38" s="1098"/>
      <c r="I38" s="1111" t="str">
        <f>IF(J37="&lt;","NEMA ULUBLJIVANJA","IMA ULUBLJIVANJA")</f>
        <v>NEMA ULUBLJIVANJA</v>
      </c>
      <c r="J38" s="1112"/>
      <c r="K38" s="1113"/>
      <c r="L38" s="603"/>
      <c r="M38" s="603"/>
    </row>
    <row r="39" spans="1:13" s="99" customFormat="1" ht="14.25">
      <c r="A39" s="603"/>
      <c r="B39" s="603"/>
      <c r="C39" s="603"/>
      <c r="D39" s="603"/>
      <c r="E39" s="603"/>
      <c r="F39" s="603"/>
      <c r="G39" s="603"/>
      <c r="H39" s="603"/>
      <c r="I39" s="603"/>
      <c r="J39" s="603"/>
      <c r="K39" s="603"/>
      <c r="L39" s="603"/>
      <c r="M39" s="603"/>
    </row>
    <row r="40" spans="1:13" s="99" customFormat="1" ht="15">
      <c r="A40" s="1098"/>
      <c r="B40" s="1098"/>
      <c r="C40" s="1096" t="s">
        <v>102</v>
      </c>
      <c r="D40" s="1097" t="s">
        <v>953</v>
      </c>
      <c r="E40" s="1098"/>
      <c r="F40" s="1098"/>
      <c r="G40" s="1098"/>
      <c r="H40" s="1097"/>
      <c r="I40" s="1097"/>
      <c r="J40" s="1116"/>
      <c r="K40" s="1117"/>
      <c r="L40" s="1117"/>
      <c r="M40" s="1118" t="s">
        <v>955</v>
      </c>
    </row>
    <row r="41" spans="1:14" ht="15">
      <c r="A41" s="1117"/>
      <c r="B41" s="1117"/>
      <c r="C41" s="1117"/>
      <c r="D41" s="1117"/>
      <c r="E41" s="1118" t="s">
        <v>954</v>
      </c>
      <c r="F41" s="1117"/>
      <c r="G41" s="1117"/>
      <c r="H41" s="1118" t="s">
        <v>952</v>
      </c>
      <c r="I41" s="1117"/>
      <c r="J41" s="1034" t="s">
        <v>196</v>
      </c>
      <c r="K41" s="81" t="s">
        <v>950</v>
      </c>
      <c r="L41" s="1117"/>
      <c r="M41" s="1117"/>
      <c r="N41" s="124"/>
    </row>
    <row r="42" spans="1:14" ht="16.5" customHeight="1">
      <c r="A42" s="1085" t="s">
        <v>951</v>
      </c>
      <c r="B42" s="1086"/>
      <c r="C42" s="1089"/>
      <c r="D42" s="1034" t="s">
        <v>196</v>
      </c>
      <c r="E42" s="142" t="s">
        <v>949</v>
      </c>
      <c r="F42" s="618"/>
      <c r="G42" s="1034" t="s">
        <v>196</v>
      </c>
      <c r="H42" s="81" t="s">
        <v>949</v>
      </c>
      <c r="I42" s="618"/>
      <c r="J42" s="718" t="s">
        <v>661</v>
      </c>
      <c r="K42" s="216">
        <f>E20</f>
        <v>150</v>
      </c>
      <c r="L42" s="216">
        <f>J20</f>
        <v>100</v>
      </c>
      <c r="M42" s="618"/>
      <c r="N42" s="125"/>
    </row>
    <row r="43" spans="1:14" ht="16.5" customHeight="1">
      <c r="A43" s="1103" t="s">
        <v>938</v>
      </c>
      <c r="B43" s="1104"/>
      <c r="C43" s="1106"/>
      <c r="D43" s="1119" t="s">
        <v>956</v>
      </c>
      <c r="E43" s="216">
        <f>E20</f>
        <v>150</v>
      </c>
      <c r="F43" s="618"/>
      <c r="G43" s="718" t="s">
        <v>661</v>
      </c>
      <c r="H43" s="216">
        <f>J20</f>
        <v>100</v>
      </c>
      <c r="I43" s="618"/>
      <c r="J43" s="722" t="s">
        <v>662</v>
      </c>
      <c r="K43" s="216">
        <f>E21</f>
        <v>25</v>
      </c>
      <c r="L43" s="216">
        <f>J21</f>
        <v>10</v>
      </c>
      <c r="M43" s="618"/>
      <c r="N43" s="125"/>
    </row>
    <row r="44" spans="1:14" ht="16.5" customHeight="1">
      <c r="A44" s="1107" t="s">
        <v>939</v>
      </c>
      <c r="B44" s="1108"/>
      <c r="C44" s="1109"/>
      <c r="D44" s="1120" t="s">
        <v>957</v>
      </c>
      <c r="E44" s="216">
        <f>E21</f>
        <v>25</v>
      </c>
      <c r="F44" s="618"/>
      <c r="G44" s="722" t="s">
        <v>662</v>
      </c>
      <c r="H44" s="216">
        <f>J21</f>
        <v>10</v>
      </c>
      <c r="I44" s="618"/>
      <c r="J44" s="827" t="s">
        <v>663</v>
      </c>
      <c r="K44" s="140">
        <v>240</v>
      </c>
      <c r="L44" s="140">
        <v>254</v>
      </c>
      <c r="M44" s="618"/>
      <c r="N44" s="125"/>
    </row>
    <row r="45" spans="1:14" ht="16.5" customHeight="1">
      <c r="A45" s="1085" t="s">
        <v>940</v>
      </c>
      <c r="B45" s="1086"/>
      <c r="C45" s="1089"/>
      <c r="D45" s="1121" t="s">
        <v>663</v>
      </c>
      <c r="E45" s="140">
        <v>174</v>
      </c>
      <c r="F45" s="618"/>
      <c r="G45" s="827" t="s">
        <v>663</v>
      </c>
      <c r="H45" s="140">
        <v>187</v>
      </c>
      <c r="I45" s="618"/>
      <c r="J45" s="830" t="s">
        <v>665</v>
      </c>
      <c r="K45" s="140">
        <v>1.5</v>
      </c>
      <c r="L45" s="1098"/>
      <c r="M45" s="618"/>
      <c r="N45" s="125"/>
    </row>
    <row r="46" spans="1:14" ht="16.5" customHeight="1">
      <c r="A46" s="1100" t="s">
        <v>208</v>
      </c>
      <c r="B46" s="1094"/>
      <c r="C46" s="1101"/>
      <c r="D46" s="1122" t="s">
        <v>958</v>
      </c>
      <c r="E46" s="140">
        <v>1.5</v>
      </c>
      <c r="F46" s="618"/>
      <c r="G46" s="830" t="s">
        <v>665</v>
      </c>
      <c r="H46" s="140">
        <v>1.5</v>
      </c>
      <c r="I46" s="618"/>
      <c r="J46" s="830" t="s">
        <v>679</v>
      </c>
      <c r="K46" s="216">
        <f>MIN(2*M11,2*M12,(M11^2+M12^2)^0.5)</f>
        <v>22.89650628371062</v>
      </c>
      <c r="L46" s="1098"/>
      <c r="M46" s="615"/>
      <c r="N46" s="126"/>
    </row>
    <row r="47" spans="1:14" ht="16.5" customHeight="1">
      <c r="A47" s="1107" t="s">
        <v>214</v>
      </c>
      <c r="B47" s="1108"/>
      <c r="C47" s="1109"/>
      <c r="D47" s="830" t="s">
        <v>666</v>
      </c>
      <c r="E47" s="140">
        <v>0.8</v>
      </c>
      <c r="F47" s="618"/>
      <c r="G47" s="830" t="s">
        <v>666</v>
      </c>
      <c r="H47" s="140">
        <v>0.8</v>
      </c>
      <c r="I47" s="618"/>
      <c r="J47" s="830" t="s">
        <v>666</v>
      </c>
      <c r="K47" s="216">
        <f>IF(L10/M10&gt;1.2,(K46-L10/1.2)/K487,(K46-M10)/K46)</f>
        <v>0.3012034324475537</v>
      </c>
      <c r="L47" s="1098"/>
      <c r="M47" s="612"/>
      <c r="N47" s="125"/>
    </row>
    <row r="48" spans="1:14" ht="16.5" customHeight="1">
      <c r="A48" s="1100" t="s">
        <v>209</v>
      </c>
      <c r="B48" s="1094"/>
      <c r="C48" s="1101"/>
      <c r="D48" s="1123" t="s">
        <v>959</v>
      </c>
      <c r="E48" s="216">
        <f>IF(E51&lt;10,0.3,IF(E51&lt;30,0.5,IF(E51&lt;50,0.8,1)))</f>
        <v>0.3</v>
      </c>
      <c r="F48" s="618"/>
      <c r="G48" s="831" t="s">
        <v>667</v>
      </c>
      <c r="H48" s="216">
        <f>IF(H51&lt;10,0.3,IF(H51&lt;30,0.5,IF(H51&lt;50,0.8,1)))</f>
        <v>0.3</v>
      </c>
      <c r="I48" s="618"/>
      <c r="J48" s="830" t="s">
        <v>672</v>
      </c>
      <c r="K48" s="81">
        <v>0.4</v>
      </c>
      <c r="L48" s="1098"/>
      <c r="M48" s="618"/>
      <c r="N48" s="125"/>
    </row>
    <row r="49" spans="1:14" ht="16.5" customHeight="1">
      <c r="A49" s="1107" t="s">
        <v>210</v>
      </c>
      <c r="B49" s="1108"/>
      <c r="C49" s="1109"/>
      <c r="D49" s="1123" t="s">
        <v>960</v>
      </c>
      <c r="E49" s="216">
        <f>IF(E51&lt;30,1,0)</f>
        <v>1</v>
      </c>
      <c r="F49" s="618"/>
      <c r="G49" s="831" t="s">
        <v>668</v>
      </c>
      <c r="H49" s="216">
        <f>IF(H51&lt;30,1,0)</f>
        <v>1</v>
      </c>
      <c r="I49" s="618"/>
      <c r="J49" s="831" t="s">
        <v>673</v>
      </c>
      <c r="K49" s="216">
        <f>M8+F68+4</f>
        <v>529</v>
      </c>
      <c r="L49" s="1098"/>
      <c r="M49" s="618"/>
      <c r="N49" s="125"/>
    </row>
    <row r="50" spans="1:14" ht="16.5" customHeight="1">
      <c r="A50" s="1085" t="s">
        <v>946</v>
      </c>
      <c r="B50" s="1086"/>
      <c r="C50" s="1089"/>
      <c r="D50" s="1123" t="s">
        <v>961</v>
      </c>
      <c r="E50" s="216">
        <f>M8*E44/(20*E45*E47/E46+E44)+E48+E49</f>
        <v>7.945401382243487</v>
      </c>
      <c r="F50" s="618"/>
      <c r="G50" s="831" t="s">
        <v>256</v>
      </c>
      <c r="H50" s="216">
        <f>M8*H44/(20*H45*H47/H46+H44)+H48+H49</f>
        <v>3.7941802460924507</v>
      </c>
      <c r="I50" s="618"/>
      <c r="J50" s="831" t="s">
        <v>256</v>
      </c>
      <c r="K50" s="216">
        <f>K48*K49*((K43*K45/(10*K44*K47)))^0.5</f>
        <v>48.19430458369576</v>
      </c>
      <c r="L50" s="216">
        <f>K48*K49*((L43*K45/(10*L44*K47)))^0.5</f>
        <v>29.62882823222816</v>
      </c>
      <c r="M50" s="618"/>
      <c r="N50" s="46"/>
    </row>
    <row r="51" spans="1:13" ht="16.5" customHeight="1">
      <c r="A51" s="1085" t="s">
        <v>212</v>
      </c>
      <c r="B51" s="1086"/>
      <c r="C51" s="1089"/>
      <c r="D51" s="1123" t="s">
        <v>962</v>
      </c>
      <c r="E51" s="81">
        <v>8</v>
      </c>
      <c r="F51" s="618"/>
      <c r="G51" s="831" t="s">
        <v>674</v>
      </c>
      <c r="H51" s="81">
        <v>5</v>
      </c>
      <c r="I51" s="603"/>
      <c r="J51" s="831" t="s">
        <v>674</v>
      </c>
      <c r="K51" s="81">
        <v>50</v>
      </c>
      <c r="L51" s="1098"/>
      <c r="M51" s="618"/>
    </row>
    <row r="52" spans="1:13" ht="16.5" customHeight="1">
      <c r="A52" s="607"/>
      <c r="B52" s="625"/>
      <c r="C52" s="607"/>
      <c r="D52" s="832"/>
      <c r="E52" s="833"/>
      <c r="F52" s="834"/>
      <c r="G52" s="832"/>
      <c r="H52" s="833"/>
      <c r="I52" s="835"/>
      <c r="J52" s="832"/>
      <c r="K52" s="833"/>
      <c r="L52" s="835"/>
      <c r="M52" s="834"/>
    </row>
    <row r="53" spans="1:13" ht="16.5" customHeight="1">
      <c r="A53" s="607"/>
      <c r="B53" s="625"/>
      <c r="C53" s="607"/>
      <c r="D53" s="832"/>
      <c r="E53" s="833"/>
      <c r="F53" s="834"/>
      <c r="G53" s="832"/>
      <c r="H53" s="833"/>
      <c r="I53" s="835"/>
      <c r="J53" s="832"/>
      <c r="K53" s="833"/>
      <c r="L53" s="835"/>
      <c r="M53" s="834"/>
    </row>
    <row r="54" spans="1:13" ht="16.5" customHeight="1">
      <c r="A54" s="607"/>
      <c r="B54" s="625"/>
      <c r="C54" s="607"/>
      <c r="D54" s="832"/>
      <c r="E54" s="833"/>
      <c r="F54" s="834"/>
      <c r="G54" s="832"/>
      <c r="H54" s="833"/>
      <c r="I54" s="835"/>
      <c r="J54" s="832"/>
      <c r="K54" s="833"/>
      <c r="L54" s="835"/>
      <c r="M54" s="834"/>
    </row>
    <row r="55" spans="1:13" ht="16.5" customHeight="1">
      <c r="A55" s="607"/>
      <c r="B55" s="625"/>
      <c r="C55" s="607"/>
      <c r="D55" s="832"/>
      <c r="E55" s="833"/>
      <c r="F55" s="834"/>
      <c r="G55" s="832"/>
      <c r="H55" s="833"/>
      <c r="I55" s="835"/>
      <c r="J55" s="832"/>
      <c r="K55" s="833"/>
      <c r="L55" s="835"/>
      <c r="M55" s="834"/>
    </row>
    <row r="56" spans="1:13" ht="16.5" customHeight="1">
      <c r="A56" s="607"/>
      <c r="B56" s="625"/>
      <c r="C56" s="607"/>
      <c r="D56" s="832"/>
      <c r="E56" s="833"/>
      <c r="F56" s="834"/>
      <c r="G56" s="832"/>
      <c r="H56" s="833"/>
      <c r="I56" s="835"/>
      <c r="J56" s="832"/>
      <c r="K56" s="833"/>
      <c r="L56" s="835"/>
      <c r="M56" s="834"/>
    </row>
    <row r="57" spans="1:13" ht="16.5" customHeight="1">
      <c r="A57" s="607"/>
      <c r="B57" s="625"/>
      <c r="C57" s="607"/>
      <c r="D57" s="832"/>
      <c r="E57" s="833"/>
      <c r="F57" s="834"/>
      <c r="G57" s="832"/>
      <c r="H57" s="833"/>
      <c r="I57" s="835"/>
      <c r="J57" s="832"/>
      <c r="K57" s="833"/>
      <c r="L57" s="835"/>
      <c r="M57" s="834"/>
    </row>
    <row r="58" spans="1:13" ht="16.5" customHeight="1">
      <c r="A58" s="607"/>
      <c r="B58" s="625"/>
      <c r="C58" s="607"/>
      <c r="D58" s="832"/>
      <c r="E58" s="833"/>
      <c r="F58" s="834"/>
      <c r="G58" s="832"/>
      <c r="H58" s="833"/>
      <c r="I58" s="835"/>
      <c r="J58" s="832"/>
      <c r="K58" s="833"/>
      <c r="L58" s="835"/>
      <c r="M58" s="834"/>
    </row>
    <row r="59" spans="1:13" ht="16.5" customHeight="1">
      <c r="A59" s="607"/>
      <c r="B59" s="625"/>
      <c r="C59" s="607"/>
      <c r="D59" s="832"/>
      <c r="E59" s="833"/>
      <c r="F59" s="834"/>
      <c r="G59" s="832"/>
      <c r="H59" s="833"/>
      <c r="I59" s="835"/>
      <c r="J59" s="832"/>
      <c r="K59" s="833"/>
      <c r="L59" s="835"/>
      <c r="M59" s="834"/>
    </row>
    <row r="60" spans="1:13" ht="16.5" customHeight="1">
      <c r="A60" s="607"/>
      <c r="B60" s="625"/>
      <c r="C60" s="607"/>
      <c r="D60" s="832"/>
      <c r="E60" s="833"/>
      <c r="F60" s="834"/>
      <c r="G60" s="832"/>
      <c r="H60" s="833"/>
      <c r="I60" s="835"/>
      <c r="J60" s="832"/>
      <c r="K60" s="833"/>
      <c r="L60" s="835"/>
      <c r="M60" s="834"/>
    </row>
    <row r="61" spans="1:13" ht="16.5" customHeight="1">
      <c r="A61" s="607"/>
      <c r="B61" s="625"/>
      <c r="C61" s="607"/>
      <c r="D61" s="832"/>
      <c r="E61" s="833"/>
      <c r="F61" s="834"/>
      <c r="G61" s="832"/>
      <c r="H61" s="833"/>
      <c r="I61" s="835"/>
      <c r="J61" s="832"/>
      <c r="K61" s="833"/>
      <c r="L61" s="835"/>
      <c r="M61" s="834"/>
    </row>
    <row r="62" spans="1:13" ht="16.5" customHeight="1">
      <c r="A62" s="607"/>
      <c r="B62" s="625"/>
      <c r="C62" s="607"/>
      <c r="D62" s="832"/>
      <c r="E62" s="833"/>
      <c r="F62" s="834"/>
      <c r="G62" s="832"/>
      <c r="H62" s="833"/>
      <c r="I62" s="835"/>
      <c r="J62" s="832"/>
      <c r="K62" s="833"/>
      <c r="L62" s="835"/>
      <c r="M62" s="834"/>
    </row>
    <row r="63" spans="1:13" ht="16.5" customHeight="1">
      <c r="A63" s="603"/>
      <c r="B63" s="603"/>
      <c r="C63" s="603"/>
      <c r="D63" s="1096" t="s">
        <v>251</v>
      </c>
      <c r="E63" s="1098"/>
      <c r="F63" s="1098"/>
      <c r="G63" s="1098"/>
      <c r="H63" s="1098"/>
      <c r="I63" s="1118" t="s">
        <v>963</v>
      </c>
      <c r="J63" s="1098"/>
      <c r="K63" s="1098"/>
      <c r="L63" s="1098"/>
      <c r="M63" s="1117"/>
    </row>
    <row r="64" spans="1:15" ht="16.5" customHeight="1">
      <c r="A64" s="603"/>
      <c r="B64" s="606"/>
      <c r="C64" s="603"/>
      <c r="D64" s="1098"/>
      <c r="E64" s="1124" t="s">
        <v>965</v>
      </c>
      <c r="F64" s="1089"/>
      <c r="G64" s="1092"/>
      <c r="H64" s="1124" t="s">
        <v>966</v>
      </c>
      <c r="I64" s="1089"/>
      <c r="J64" s="1092"/>
      <c r="K64" s="1124" t="s">
        <v>248</v>
      </c>
      <c r="L64" s="1089"/>
      <c r="M64" s="1092"/>
      <c r="O64" s="129"/>
    </row>
    <row r="65" spans="1:15" ht="16.5" customHeight="1">
      <c r="A65" s="1100" t="s">
        <v>967</v>
      </c>
      <c r="B65" s="1101"/>
      <c r="C65" s="1102"/>
      <c r="D65" s="1125" t="s">
        <v>227</v>
      </c>
      <c r="E65" s="1126" t="s">
        <v>224</v>
      </c>
      <c r="F65" s="1127" t="s">
        <v>225</v>
      </c>
      <c r="G65" s="1128" t="s">
        <v>226</v>
      </c>
      <c r="H65" s="1126" t="s">
        <v>224</v>
      </c>
      <c r="I65" s="1127" t="s">
        <v>225</v>
      </c>
      <c r="J65" s="1128" t="s">
        <v>226</v>
      </c>
      <c r="K65" s="1126" t="s">
        <v>224</v>
      </c>
      <c r="L65" s="1127" t="s">
        <v>225</v>
      </c>
      <c r="M65" s="1128" t="s">
        <v>226</v>
      </c>
      <c r="O65" s="53"/>
    </row>
    <row r="66" spans="1:15" ht="16.5" customHeight="1">
      <c r="A66" s="1100" t="s">
        <v>968</v>
      </c>
      <c r="B66" s="1101"/>
      <c r="C66" s="1101"/>
      <c r="D66" s="449"/>
      <c r="E66" s="868" t="s">
        <v>696</v>
      </c>
      <c r="F66" s="865" t="s">
        <v>693</v>
      </c>
      <c r="G66" s="866" t="s">
        <v>694</v>
      </c>
      <c r="H66" s="868" t="s">
        <v>696</v>
      </c>
      <c r="I66" s="865" t="s">
        <v>693</v>
      </c>
      <c r="J66" s="866" t="s">
        <v>694</v>
      </c>
      <c r="K66" s="868" t="s">
        <v>696</v>
      </c>
      <c r="L66" s="865" t="s">
        <v>693</v>
      </c>
      <c r="M66" s="866" t="s">
        <v>694</v>
      </c>
      <c r="O66" s="53"/>
    </row>
    <row r="67" spans="1:15" ht="16.5" customHeight="1">
      <c r="A67" s="1103" t="s">
        <v>695</v>
      </c>
      <c r="B67" s="1104"/>
      <c r="C67" s="1106"/>
      <c r="D67" s="867"/>
      <c r="E67" s="303" t="s">
        <v>692</v>
      </c>
      <c r="F67" s="245" t="s">
        <v>697</v>
      </c>
      <c r="G67" s="245" t="s">
        <v>697</v>
      </c>
      <c r="H67" s="303" t="s">
        <v>692</v>
      </c>
      <c r="I67" s="245" t="s">
        <v>697</v>
      </c>
      <c r="J67" s="245" t="s">
        <v>697</v>
      </c>
      <c r="K67" s="303" t="s">
        <v>692</v>
      </c>
      <c r="L67" s="245" t="s">
        <v>697</v>
      </c>
      <c r="M67" s="245" t="s">
        <v>697</v>
      </c>
      <c r="O67" s="53"/>
    </row>
    <row r="68" spans="1:15" ht="16.5" customHeight="1">
      <c r="A68" s="1107" t="s">
        <v>969</v>
      </c>
      <c r="B68" s="1108"/>
      <c r="C68" s="1109"/>
      <c r="D68" s="455"/>
      <c r="E68" s="141">
        <v>130</v>
      </c>
      <c r="F68" s="141">
        <v>25</v>
      </c>
      <c r="G68" s="141">
        <v>3</v>
      </c>
      <c r="H68" s="619">
        <f>E68</f>
        <v>130</v>
      </c>
      <c r="I68" s="619">
        <f>F68</f>
        <v>25</v>
      </c>
      <c r="J68" s="619">
        <f>G68</f>
        <v>3</v>
      </c>
      <c r="K68" s="619">
        <f>E68</f>
        <v>130</v>
      </c>
      <c r="L68" s="619">
        <f>F68</f>
        <v>25</v>
      </c>
      <c r="M68" s="619">
        <f>G68</f>
        <v>3</v>
      </c>
      <c r="O68" s="53"/>
    </row>
    <row r="69" spans="1:15" ht="16.5" customHeight="1">
      <c r="A69" s="1107" t="s">
        <v>228</v>
      </c>
      <c r="B69" s="1108"/>
      <c r="C69" s="1109"/>
      <c r="D69" s="620" t="s">
        <v>196</v>
      </c>
      <c r="E69" s="89" t="s">
        <v>229</v>
      </c>
      <c r="F69" s="618"/>
      <c r="G69" s="618"/>
      <c r="H69" s="609" t="str">
        <f>E69</f>
        <v>K^ 8.8</v>
      </c>
      <c r="I69" s="618"/>
      <c r="J69" s="618"/>
      <c r="K69" s="609" t="str">
        <f>E69</f>
        <v>K^ 8.8</v>
      </c>
      <c r="L69" s="618"/>
      <c r="M69" s="618"/>
      <c r="O69" s="127"/>
    </row>
    <row r="70" spans="1:15" ht="16.5" customHeight="1">
      <c r="A70" s="1103" t="s">
        <v>938</v>
      </c>
      <c r="B70" s="1104"/>
      <c r="C70" s="1106"/>
      <c r="D70" s="722" t="s">
        <v>698</v>
      </c>
      <c r="E70" s="216">
        <f>IF(MAX(F8,F9)&gt;50,MAX(F8,F9)-15,50)</f>
        <v>135</v>
      </c>
      <c r="F70" s="140">
        <v>20</v>
      </c>
      <c r="G70" s="618"/>
      <c r="H70" s="216">
        <f>IF(MIN(F8,F9)&gt;50,MIN(F8,F9)-15,50)</f>
        <v>85</v>
      </c>
      <c r="I70" s="619">
        <f>F70</f>
        <v>20</v>
      </c>
      <c r="J70" s="603"/>
      <c r="K70" s="216"/>
      <c r="L70" s="619"/>
      <c r="M70" s="603"/>
      <c r="O70" s="127"/>
    </row>
    <row r="71" spans="1:15" ht="16.5" customHeight="1">
      <c r="A71" s="1107" t="s">
        <v>939</v>
      </c>
      <c r="B71" s="1108"/>
      <c r="C71" s="1109"/>
      <c r="D71" s="722" t="s">
        <v>662</v>
      </c>
      <c r="E71" s="216">
        <f>MAX(F10,F11)</f>
        <v>25</v>
      </c>
      <c r="F71" s="216">
        <f>MAX(F12,F13)</f>
        <v>37.5</v>
      </c>
      <c r="G71" s="618"/>
      <c r="H71" s="216">
        <f>MIN(F10,F11)</f>
        <v>10</v>
      </c>
      <c r="I71" s="216">
        <f>MIN(F12,F13)</f>
        <v>15</v>
      </c>
      <c r="J71" s="618"/>
      <c r="K71" s="216">
        <f>E71+H71</f>
        <v>35</v>
      </c>
      <c r="L71" s="216">
        <f>F71+I71</f>
        <v>52.5</v>
      </c>
      <c r="M71" s="618"/>
      <c r="O71" s="127"/>
    </row>
    <row r="72" spans="1:15" ht="16.5" customHeight="1">
      <c r="A72" s="1085" t="s">
        <v>940</v>
      </c>
      <c r="B72" s="1086"/>
      <c r="C72" s="1089"/>
      <c r="D72" s="871" t="s">
        <v>663</v>
      </c>
      <c r="E72" s="140">
        <v>500</v>
      </c>
      <c r="F72" s="140">
        <v>640</v>
      </c>
      <c r="G72" s="618"/>
      <c r="H72" s="140">
        <v>540</v>
      </c>
      <c r="I72" s="619">
        <f>F72</f>
        <v>640</v>
      </c>
      <c r="J72" s="618"/>
      <c r="K72" s="140">
        <f>MIN(E72,H72)</f>
        <v>500</v>
      </c>
      <c r="L72" s="619">
        <f>F72</f>
        <v>640</v>
      </c>
      <c r="M72" s="618"/>
      <c r="O72" s="130"/>
    </row>
    <row r="73" spans="1:15" ht="16.5" customHeight="1">
      <c r="A73" s="1107" t="s">
        <v>747</v>
      </c>
      <c r="B73" s="1108"/>
      <c r="C73" s="1109"/>
      <c r="D73" s="722" t="s">
        <v>700</v>
      </c>
      <c r="E73" s="216">
        <f>M8-IF(E44&gt;H44,2*E51,2*H51)</f>
        <v>484</v>
      </c>
      <c r="F73" s="618"/>
      <c r="G73" s="618"/>
      <c r="H73" s="216">
        <f>M8-IF(E44&gt;H44,2*H51,2*E51)</f>
        <v>490</v>
      </c>
      <c r="I73" s="618"/>
      <c r="J73" s="618"/>
      <c r="K73" s="216"/>
      <c r="L73" s="618"/>
      <c r="M73" s="618"/>
      <c r="O73" s="127"/>
    </row>
    <row r="74" spans="1:15" ht="16.5" customHeight="1">
      <c r="A74" s="1107" t="s">
        <v>970</v>
      </c>
      <c r="B74" s="1108"/>
      <c r="C74" s="1109"/>
      <c r="D74" s="722" t="s">
        <v>701</v>
      </c>
      <c r="E74" s="216">
        <f>M8+F68+4</f>
        <v>529</v>
      </c>
      <c r="F74" s="618"/>
      <c r="G74" s="618"/>
      <c r="H74" s="216">
        <f>M8+I68+4</f>
        <v>529</v>
      </c>
      <c r="I74" s="618"/>
      <c r="J74" s="618"/>
      <c r="K74" s="216">
        <f>M8+L68+4</f>
        <v>529</v>
      </c>
      <c r="L74" s="618"/>
      <c r="M74" s="618"/>
      <c r="O74" s="127"/>
    </row>
    <row r="75" spans="1:15" ht="16.5" customHeight="1">
      <c r="A75" s="1085" t="s">
        <v>231</v>
      </c>
      <c r="B75" s="1086"/>
      <c r="C75" s="1092"/>
      <c r="D75" s="722" t="s">
        <v>702</v>
      </c>
      <c r="E75" s="216">
        <f>IF(E86&lt;=20,3,IF(E86&gt;=50,1,(65-(E83/(E72*E79))^0.5)/15))</f>
        <v>3</v>
      </c>
      <c r="F75" s="618"/>
      <c r="G75" s="618"/>
      <c r="H75" s="216">
        <f>IF(H86&lt;=20,3,IF(H86&gt;=50,1,(65-(H83/(H72*H79))^0.5)/15))</f>
        <v>3</v>
      </c>
      <c r="I75" s="618"/>
      <c r="J75" s="618"/>
      <c r="K75" s="216">
        <f>IF(K86&lt;=20,3,IF(K86&gt;=50,1,(65-(K83/(K72*K79))^0.5)/15))</f>
        <v>3</v>
      </c>
      <c r="L75" s="618"/>
      <c r="M75" s="618"/>
      <c r="O75" s="127"/>
    </row>
    <row r="76" spans="1:15" ht="16.5" customHeight="1">
      <c r="A76" s="1100" t="s">
        <v>230</v>
      </c>
      <c r="B76" s="1094"/>
      <c r="C76" s="1101"/>
      <c r="D76" s="722" t="s">
        <v>703</v>
      </c>
      <c r="E76" s="140">
        <v>1.2</v>
      </c>
      <c r="F76" s="140">
        <v>1.2</v>
      </c>
      <c r="G76" s="618"/>
      <c r="H76" s="609">
        <f>E76</f>
        <v>1.2</v>
      </c>
      <c r="I76" s="619">
        <f>F76</f>
        <v>1.2</v>
      </c>
      <c r="J76" s="618"/>
      <c r="K76" s="609"/>
      <c r="L76" s="619"/>
      <c r="M76" s="618"/>
      <c r="O76" s="130"/>
    </row>
    <row r="77" spans="1:15" ht="16.5" customHeight="1">
      <c r="A77" s="1107" t="s">
        <v>971</v>
      </c>
      <c r="B77" s="1108"/>
      <c r="C77" s="1109"/>
      <c r="D77" s="722" t="s">
        <v>704</v>
      </c>
      <c r="E77" s="631">
        <f>1.3*F68</f>
        <v>32.5</v>
      </c>
      <c r="F77" s="631">
        <f>F68</f>
        <v>25</v>
      </c>
      <c r="G77" s="618"/>
      <c r="H77" s="631">
        <f>1.3*I68</f>
        <v>32.5</v>
      </c>
      <c r="I77" s="631">
        <f>I68</f>
        <v>25</v>
      </c>
      <c r="J77" s="618"/>
      <c r="K77" s="631"/>
      <c r="L77" s="631"/>
      <c r="M77" s="618"/>
      <c r="O77" s="130"/>
    </row>
    <row r="78" spans="1:15" ht="16.5" customHeight="1">
      <c r="A78" s="1107" t="s">
        <v>972</v>
      </c>
      <c r="B78" s="1108"/>
      <c r="C78" s="1109"/>
      <c r="D78" s="872" t="s">
        <v>705</v>
      </c>
      <c r="E78" s="611"/>
      <c r="F78" s="634"/>
      <c r="G78" s="632">
        <f>15*F68</f>
        <v>375</v>
      </c>
      <c r="H78" s="611"/>
      <c r="I78" s="634"/>
      <c r="J78" s="632">
        <f>15*I68</f>
        <v>375</v>
      </c>
      <c r="K78" s="611"/>
      <c r="L78" s="634"/>
      <c r="M78" s="610">
        <f>15*L68</f>
        <v>375</v>
      </c>
      <c r="O78" s="131"/>
    </row>
    <row r="79" spans="1:15" ht="16.5" customHeight="1">
      <c r="A79" s="1107" t="s">
        <v>973</v>
      </c>
      <c r="B79" s="1108"/>
      <c r="C79" s="1109"/>
      <c r="D79" s="831" t="s">
        <v>706</v>
      </c>
      <c r="E79" s="635">
        <v>20</v>
      </c>
      <c r="F79" s="869" t="s">
        <v>709</v>
      </c>
      <c r="G79" s="216">
        <f>4*(INT(E74*PI()/(4*5*M93))+1)</f>
        <v>16</v>
      </c>
      <c r="H79" s="633">
        <f>E79</f>
        <v>20</v>
      </c>
      <c r="I79" s="869" t="s">
        <v>709</v>
      </c>
      <c r="J79" s="619">
        <f>G79</f>
        <v>16</v>
      </c>
      <c r="K79" s="633">
        <f>H79</f>
        <v>20</v>
      </c>
      <c r="L79" s="869" t="s">
        <v>709</v>
      </c>
      <c r="M79" s="619">
        <f>J79</f>
        <v>16</v>
      </c>
      <c r="O79" s="127"/>
    </row>
    <row r="80" spans="1:15" ht="16.5" customHeight="1">
      <c r="A80" s="1085" t="s">
        <v>974</v>
      </c>
      <c r="B80" s="1086"/>
      <c r="C80" s="1092"/>
      <c r="D80" s="873" t="s">
        <v>707</v>
      </c>
      <c r="E80" s="81">
        <v>1.51</v>
      </c>
      <c r="F80" s="81">
        <v>1.29</v>
      </c>
      <c r="G80" s="81">
        <v>1.29</v>
      </c>
      <c r="H80" s="619">
        <f>E80</f>
        <v>1.51</v>
      </c>
      <c r="I80" s="619">
        <f>F80</f>
        <v>1.29</v>
      </c>
      <c r="J80" s="619">
        <f>G80</f>
        <v>1.29</v>
      </c>
      <c r="K80" s="619">
        <f>H80</f>
        <v>1.51</v>
      </c>
      <c r="L80" s="619">
        <f>I80</f>
        <v>1.29</v>
      </c>
      <c r="M80" s="619">
        <f>J80</f>
        <v>1.29</v>
      </c>
      <c r="O80" s="127"/>
    </row>
    <row r="81" spans="1:15" ht="16.5" customHeight="1">
      <c r="A81" s="1085" t="s">
        <v>975</v>
      </c>
      <c r="B81" s="1086"/>
      <c r="C81" s="1092"/>
      <c r="D81" s="722" t="s">
        <v>708</v>
      </c>
      <c r="E81" s="216">
        <f>ROUND(E71*PI()*E73^2/40000,0)</f>
        <v>460</v>
      </c>
      <c r="F81" s="216">
        <f>ROUND(F71*PI()*E73^2/40000,0)</f>
        <v>690</v>
      </c>
      <c r="G81" s="618"/>
      <c r="H81" s="216">
        <f>ROUND(H71*PI()*H73^2/40000,0)</f>
        <v>189</v>
      </c>
      <c r="I81" s="216">
        <f>ROUND(I71*PI()*H73^2/40000,0)</f>
        <v>283</v>
      </c>
      <c r="J81" s="618"/>
      <c r="K81" s="216">
        <f aca="true" t="shared" si="0" ref="K81:L83">E81+H81</f>
        <v>649</v>
      </c>
      <c r="L81" s="216">
        <f t="shared" si="0"/>
        <v>973</v>
      </c>
      <c r="M81" s="618"/>
      <c r="O81" s="127"/>
    </row>
    <row r="82" spans="1:15" ht="16.5" customHeight="1">
      <c r="A82" s="1085" t="s">
        <v>976</v>
      </c>
      <c r="B82" s="1086"/>
      <c r="C82" s="1092"/>
      <c r="D82" s="722" t="s">
        <v>710</v>
      </c>
      <c r="E82" s="216">
        <f>ROUND(E71*PI()*(E74^2-E73^2)/40000,0)</f>
        <v>90</v>
      </c>
      <c r="F82" s="216">
        <f>ROUND(F71*PI()*(E74^2-E73^2)/40000,0)</f>
        <v>134</v>
      </c>
      <c r="G82" s="618"/>
      <c r="H82" s="216">
        <f>ROUND(H71*PI()*(H74^2-H73^2)/40000,0)</f>
        <v>31</v>
      </c>
      <c r="I82" s="216">
        <f>ROUND(I71*PI()*(H74^2-H73^2)/40000,0)</f>
        <v>47</v>
      </c>
      <c r="J82" s="618"/>
      <c r="K82" s="216">
        <f t="shared" si="0"/>
        <v>121</v>
      </c>
      <c r="L82" s="216">
        <f t="shared" si="0"/>
        <v>181</v>
      </c>
      <c r="M82" s="618"/>
      <c r="O82" s="127"/>
    </row>
    <row r="83" spans="1:15" ht="16.5" customHeight="1">
      <c r="A83" s="1085" t="s">
        <v>232</v>
      </c>
      <c r="B83" s="1086"/>
      <c r="C83" s="1092"/>
      <c r="D83" s="722" t="s">
        <v>711</v>
      </c>
      <c r="E83" s="216">
        <f>ROUND(E71*PI()*E74*E76*E77/10000,0)</f>
        <v>162</v>
      </c>
      <c r="F83" s="216">
        <f>ROUND(F71*PI()*E74*F76*F77/10000,0)</f>
        <v>187</v>
      </c>
      <c r="G83" s="618"/>
      <c r="H83" s="216">
        <f>ROUND(H71*PI()*H74*H76*H77/10000,0)</f>
        <v>65</v>
      </c>
      <c r="I83" s="216">
        <f>ROUND(I71*PI()*H74*I76*I77/10000,0)</f>
        <v>75</v>
      </c>
      <c r="J83" s="618"/>
      <c r="K83" s="216">
        <f t="shared" si="0"/>
        <v>227</v>
      </c>
      <c r="L83" s="216">
        <f t="shared" si="0"/>
        <v>262</v>
      </c>
      <c r="M83" s="618"/>
      <c r="O83" s="127"/>
    </row>
    <row r="84" spans="1:15" ht="16.5" customHeight="1">
      <c r="A84" s="1085" t="s">
        <v>977</v>
      </c>
      <c r="B84" s="1086"/>
      <c r="C84" s="1092"/>
      <c r="D84" s="722" t="s">
        <v>712</v>
      </c>
      <c r="E84" s="216">
        <f>E81+E82+E83</f>
        <v>712</v>
      </c>
      <c r="F84" s="216">
        <f>F81+F82+F83</f>
        <v>1011</v>
      </c>
      <c r="G84" s="618"/>
      <c r="H84" s="216">
        <f>H81+H82+H83</f>
        <v>285</v>
      </c>
      <c r="I84" s="216">
        <f>I81+I82+I83</f>
        <v>405</v>
      </c>
      <c r="J84" s="618"/>
      <c r="K84" s="515">
        <f>K81+K82+K83</f>
        <v>997</v>
      </c>
      <c r="L84" s="515">
        <f>L81+L82+L83</f>
        <v>1416</v>
      </c>
      <c r="M84" s="618"/>
      <c r="O84" s="127"/>
    </row>
    <row r="85" spans="1:15" ht="16.5" customHeight="1">
      <c r="A85" s="1085" t="s">
        <v>233</v>
      </c>
      <c r="B85" s="1086"/>
      <c r="C85" s="1092"/>
      <c r="D85" s="722" t="s">
        <v>713</v>
      </c>
      <c r="E85" s="216">
        <f>ROUND(PI()*E74*G78/1000,0)</f>
        <v>623</v>
      </c>
      <c r="F85" s="830" t="s">
        <v>714</v>
      </c>
      <c r="G85" s="216">
        <f>ROUND(IF(E85&gt;E84,0.2*E85+0.8*(E84*E85)^0.5,E85),0)</f>
        <v>623</v>
      </c>
      <c r="H85" s="216">
        <f>ROUND(PI()*H74*J78/1000,0)</f>
        <v>623</v>
      </c>
      <c r="I85" s="830" t="s">
        <v>714</v>
      </c>
      <c r="J85" s="216">
        <f>ROUND(IF(H85&gt;H84,0.2*H85+0.8*(H84*H85)^0.5,H85),0)</f>
        <v>462</v>
      </c>
      <c r="K85" s="216">
        <f>ROUND(PI()*K74*M78/1000,0)</f>
        <v>623</v>
      </c>
      <c r="L85" s="830" t="s">
        <v>714</v>
      </c>
      <c r="M85" s="515">
        <f>ROUND(IF(K85&gt;K84,0.2*K85+0.8*(K84*K85)^0.5,K85),0)</f>
        <v>623</v>
      </c>
      <c r="O85" s="127"/>
    </row>
    <row r="86" spans="1:15" ht="16.5" customHeight="1">
      <c r="A86" s="1085" t="s">
        <v>978</v>
      </c>
      <c r="B86" s="1086"/>
      <c r="C86" s="1092"/>
      <c r="D86" s="722" t="s">
        <v>715</v>
      </c>
      <c r="E86" s="216">
        <f>E80*(E84*1000/(E72*E79))^0.5</f>
        <v>12.741393958276307</v>
      </c>
      <c r="F86" s="216">
        <f>F80*(F84*1000/(F72*E79))^0.5</f>
        <v>11.46463686461547</v>
      </c>
      <c r="G86" s="216">
        <f>G80*(G85*1000/(F72*E79))^0.5</f>
        <v>8.999714839232409</v>
      </c>
      <c r="H86" s="216">
        <f>H80*(H84*1000/(H72*H79))^0.5</f>
        <v>7.75688762040263</v>
      </c>
      <c r="I86" s="216">
        <f>I80*(I84*1000/(I72*H79))^0.5</f>
        <v>7.2562500000000005</v>
      </c>
      <c r="J86" s="216">
        <f>J80*(J85*1000/(I72*H79))^0.5</f>
        <v>7.750071572250156</v>
      </c>
      <c r="K86" s="216">
        <f>K80*(K84*1000/(K72*K79))^0.5</f>
        <v>15.077332986970871</v>
      </c>
      <c r="L86" s="216">
        <f>L80*(L84*1000/(L72*K79))^0.5</f>
        <v>13.568016159335897</v>
      </c>
      <c r="M86" s="216">
        <f>M80*(M85*1000/(L72*K79))^0.5</f>
        <v>8.999714839232409</v>
      </c>
      <c r="O86" s="127"/>
    </row>
    <row r="87" spans="1:15" ht="16.5" customHeight="1">
      <c r="A87" s="1085" t="s">
        <v>979</v>
      </c>
      <c r="B87" s="1086"/>
      <c r="C87" s="1092"/>
      <c r="D87" s="722" t="s">
        <v>716</v>
      </c>
      <c r="E87" s="216">
        <f aca="true" t="shared" si="1" ref="E87:M87">ROUND(E86+E75,1)</f>
        <v>15.7</v>
      </c>
      <c r="F87" s="216">
        <f t="shared" si="1"/>
        <v>11.5</v>
      </c>
      <c r="G87" s="216">
        <f t="shared" si="1"/>
        <v>9</v>
      </c>
      <c r="H87" s="216">
        <f t="shared" si="1"/>
        <v>10.8</v>
      </c>
      <c r="I87" s="216">
        <f t="shared" si="1"/>
        <v>7.3</v>
      </c>
      <c r="J87" s="216">
        <f t="shared" si="1"/>
        <v>7.8</v>
      </c>
      <c r="K87" s="216">
        <f t="shared" si="1"/>
        <v>18.1</v>
      </c>
      <c r="L87" s="216">
        <f t="shared" si="1"/>
        <v>13.6</v>
      </c>
      <c r="M87" s="216">
        <f t="shared" si="1"/>
        <v>9</v>
      </c>
      <c r="O87" s="127"/>
    </row>
    <row r="88" spans="1:15" ht="16.5" customHeight="1">
      <c r="A88" s="1085" t="s">
        <v>234</v>
      </c>
      <c r="B88" s="1086"/>
      <c r="C88" s="1092"/>
      <c r="D88" s="874" t="s">
        <v>717</v>
      </c>
      <c r="E88" s="216">
        <f>0.0045*E71*(F68*G68)^0.5</f>
        <v>0.9742785792574935</v>
      </c>
      <c r="F88" s="216">
        <f>0.0045*F71*(F68*G68)^0.5</f>
        <v>1.4614178688862403</v>
      </c>
      <c r="G88" s="603"/>
      <c r="H88" s="216">
        <f>0.0045*H71*(I68*J68)^0.5</f>
        <v>0.38971143170299744</v>
      </c>
      <c r="I88" s="216">
        <f>0.0045*I71*(I68*J68)^0.5</f>
        <v>0.584567147554496</v>
      </c>
      <c r="J88" s="603"/>
      <c r="K88" s="612"/>
      <c r="L88" s="612"/>
      <c r="M88" s="603"/>
      <c r="O88" s="131"/>
    </row>
    <row r="89" spans="1:15" ht="16.5" customHeight="1">
      <c r="A89" s="1085" t="s">
        <v>235</v>
      </c>
      <c r="B89" s="1086"/>
      <c r="C89" s="1092"/>
      <c r="D89" s="874" t="s">
        <v>718</v>
      </c>
      <c r="E89" s="216">
        <f>E83*1000/(E74*F68*PI())</f>
        <v>3.8991456757485135</v>
      </c>
      <c r="F89" s="216">
        <f>F83*1000/(E74*F68*PI())</f>
        <v>4.5008656874380994</v>
      </c>
      <c r="G89" s="216">
        <f>G85*1000/(E74*F68*PI())</f>
        <v>14.99486269130447</v>
      </c>
      <c r="H89" s="216">
        <f>H83*1000/(H74*I68*PI())</f>
        <v>1.564472030392922</v>
      </c>
      <c r="I89" s="216">
        <f>I83*1000/(H74*I68*PI())</f>
        <v>1.8051600350687562</v>
      </c>
      <c r="J89" s="216">
        <f>J85*1000/(H74*I68*PI())</f>
        <v>11.119785816023539</v>
      </c>
      <c r="K89" s="612"/>
      <c r="L89" s="612"/>
      <c r="M89" s="216">
        <f>M85*1000/(K74*L68*PI())</f>
        <v>14.99486269130447</v>
      </c>
      <c r="O89" s="132"/>
    </row>
    <row r="90" spans="1:15" ht="16.5" customHeight="1">
      <c r="A90" s="1085" t="s">
        <v>236</v>
      </c>
      <c r="B90" s="1086"/>
      <c r="C90" s="1092"/>
      <c r="D90" s="875" t="s">
        <v>237</v>
      </c>
      <c r="E90" s="216" t="str">
        <f>IF(AND(E89&gt;E88,E89&lt;E68),"OK","SOS")</f>
        <v>OK</v>
      </c>
      <c r="F90" s="216" t="str">
        <f>IF(AND(F89&gt;F88,F89&lt;E68),"OK","SOS")</f>
        <v>OK</v>
      </c>
      <c r="G90" s="216" t="str">
        <f>IF(AND(G89&gt;G88,G89&lt;E68),"OK","SOS")</f>
        <v>OK</v>
      </c>
      <c r="H90" s="216" t="str">
        <f>IF(AND(H89&gt;H88,H89&lt;E68),"OK","SOS")</f>
        <v>OK</v>
      </c>
      <c r="I90" s="216" t="str">
        <f>IF(AND(I89&gt;I88,I89&lt;E68),"OK","SOS")</f>
        <v>OK</v>
      </c>
      <c r="J90" s="216" t="str">
        <f>IF(AND(J89&gt;J88,J89&lt;E68),"OK","SOS")</f>
        <v>OK</v>
      </c>
      <c r="K90" s="612"/>
      <c r="L90" s="612"/>
      <c r="M90" s="216" t="str">
        <f>IF(AND(M89&gt;M88,M89&lt;E68),"OK","SOS")</f>
        <v>OK</v>
      </c>
      <c r="O90" s="133"/>
    </row>
    <row r="91" spans="1:15" ht="16.5" customHeight="1">
      <c r="A91" s="603"/>
      <c r="B91" s="603"/>
      <c r="C91" s="603"/>
      <c r="D91" s="618"/>
      <c r="E91" s="603"/>
      <c r="F91" s="603"/>
      <c r="G91" s="603"/>
      <c r="H91" s="603"/>
      <c r="I91" s="603"/>
      <c r="J91" s="603"/>
      <c r="K91" s="603"/>
      <c r="L91" s="603"/>
      <c r="M91" s="618"/>
      <c r="O91" s="129"/>
    </row>
    <row r="92" spans="1:15" ht="16.5" customHeight="1">
      <c r="A92" s="1085" t="s">
        <v>238</v>
      </c>
      <c r="B92" s="1086"/>
      <c r="C92" s="1092"/>
      <c r="D92" s="722" t="s">
        <v>713</v>
      </c>
      <c r="E92" s="216">
        <f>MAX(G85,J85,M85)/E79</f>
        <v>31.15</v>
      </c>
      <c r="F92" s="603"/>
      <c r="G92" s="1085" t="s">
        <v>250</v>
      </c>
      <c r="H92" s="599"/>
      <c r="I92" s="621">
        <f>E74*PI()/E79</f>
        <v>83.09512568745002</v>
      </c>
      <c r="J92" s="621">
        <f>M94*1.8</f>
        <v>64.8</v>
      </c>
      <c r="K92" s="1085" t="s">
        <v>980</v>
      </c>
      <c r="L92" s="599"/>
      <c r="M92" s="81">
        <v>39.55</v>
      </c>
      <c r="O92" s="129"/>
    </row>
    <row r="93" spans="1:13" ht="16.5" customHeight="1">
      <c r="A93" s="1085" t="s">
        <v>239</v>
      </c>
      <c r="B93" s="1086"/>
      <c r="C93" s="1092"/>
      <c r="D93" s="881" t="s">
        <v>240</v>
      </c>
      <c r="E93" s="81">
        <v>24</v>
      </c>
      <c r="F93" s="880" t="s">
        <v>51</v>
      </c>
      <c r="G93" s="32">
        <v>3</v>
      </c>
      <c r="H93" s="830" t="s">
        <v>716</v>
      </c>
      <c r="I93" s="81">
        <v>20.752</v>
      </c>
      <c r="J93" s="830" t="s">
        <v>720</v>
      </c>
      <c r="K93" s="81">
        <v>22.051</v>
      </c>
      <c r="L93" s="830" t="s">
        <v>721</v>
      </c>
      <c r="M93" s="81">
        <v>26</v>
      </c>
    </row>
    <row r="94" spans="1:13" ht="16.5" customHeight="1">
      <c r="A94" s="1085" t="s">
        <v>245</v>
      </c>
      <c r="B94" s="1086"/>
      <c r="C94" s="1092"/>
      <c r="D94" s="622" t="s">
        <v>242</v>
      </c>
      <c r="E94" s="623">
        <f>G93*(180/PI())/(PI()*E93)</f>
        <v>2.2797266319526</v>
      </c>
      <c r="F94" s="251" t="s">
        <v>241</v>
      </c>
      <c r="G94" s="143">
        <v>60</v>
      </c>
      <c r="H94" s="251" t="s">
        <v>243</v>
      </c>
      <c r="I94" s="143">
        <v>0.15</v>
      </c>
      <c r="J94" s="251" t="s">
        <v>244</v>
      </c>
      <c r="K94" s="623">
        <f>ATAN(I94/COS(G94*PI()/360))*180/PI()</f>
        <v>9.82642981583228</v>
      </c>
      <c r="L94" s="827" t="s">
        <v>249</v>
      </c>
      <c r="M94" s="81">
        <v>36</v>
      </c>
    </row>
    <row r="95" spans="1:13" ht="16.5" customHeight="1">
      <c r="A95" s="1085" t="s">
        <v>246</v>
      </c>
      <c r="B95" s="1086"/>
      <c r="C95" s="1092"/>
      <c r="D95" s="826" t="s">
        <v>719</v>
      </c>
      <c r="E95" s="623">
        <f>E92*(K93/2)*TAN((E94+K94)*PI()/180)</f>
        <v>73.66668367188926</v>
      </c>
      <c r="F95" s="1085" t="s">
        <v>981</v>
      </c>
      <c r="G95" s="1086"/>
      <c r="H95" s="1092"/>
      <c r="I95" s="830" t="s">
        <v>723</v>
      </c>
      <c r="J95" s="143">
        <v>300</v>
      </c>
      <c r="K95" s="1085" t="s">
        <v>247</v>
      </c>
      <c r="L95" s="865" t="s">
        <v>722</v>
      </c>
      <c r="M95" s="623">
        <f>ROUND(1.2*E95/J95,2)</f>
        <v>0.29</v>
      </c>
    </row>
    <row r="96" spans="1:13" ht="16.5" customHeight="1">
      <c r="A96" s="1096" t="s">
        <v>252</v>
      </c>
      <c r="B96" s="1097" t="s">
        <v>983</v>
      </c>
      <c r="C96" s="1098"/>
      <c r="D96" s="1117"/>
      <c r="E96" s="1117"/>
      <c r="F96" s="1098"/>
      <c r="G96" s="1098"/>
      <c r="H96" s="1098"/>
      <c r="I96" s="1117"/>
      <c r="J96" s="1098"/>
      <c r="K96" s="1098"/>
      <c r="L96" s="1098"/>
      <c r="M96" s="1117"/>
    </row>
    <row r="97" spans="1:14" ht="16.5" customHeight="1">
      <c r="A97" s="1117"/>
      <c r="B97" s="1097" t="s">
        <v>982</v>
      </c>
      <c r="C97" s="1098"/>
      <c r="D97" s="1117"/>
      <c r="E97" s="1117"/>
      <c r="F97" s="1117"/>
      <c r="G97" s="1117"/>
      <c r="H97" s="1117"/>
      <c r="I97" s="1117"/>
      <c r="J97" s="1117"/>
      <c r="K97" s="1117"/>
      <c r="L97" s="1129"/>
      <c r="M97" s="1097"/>
      <c r="N97" s="111"/>
    </row>
    <row r="98" spans="1:14" ht="16.5" customHeight="1">
      <c r="A98" s="596" t="s">
        <v>258</v>
      </c>
      <c r="B98" s="597"/>
      <c r="C98" s="602"/>
      <c r="D98" s="722" t="s">
        <v>720</v>
      </c>
      <c r="E98" s="619">
        <f>M8+4</f>
        <v>504</v>
      </c>
      <c r="F98" s="830" t="s">
        <v>724</v>
      </c>
      <c r="G98" s="142">
        <v>730</v>
      </c>
      <c r="H98" s="870" t="s">
        <v>725</v>
      </c>
      <c r="I98" s="619">
        <f>G99+1.2*M92</f>
        <v>631.46</v>
      </c>
      <c r="J98" s="618"/>
      <c r="K98" s="618"/>
      <c r="L98" s="624"/>
      <c r="M98" s="607"/>
      <c r="N98" s="111"/>
    </row>
    <row r="99" spans="1:14" ht="16.5" customHeight="1">
      <c r="A99" s="596" t="s">
        <v>259</v>
      </c>
      <c r="B99" s="597"/>
      <c r="C99" s="602"/>
      <c r="D99" s="722" t="s">
        <v>721</v>
      </c>
      <c r="E99" s="619">
        <f>M93</f>
        <v>26</v>
      </c>
      <c r="F99" s="830" t="s">
        <v>727</v>
      </c>
      <c r="G99" s="619">
        <f>M8+2*E100+E99+8</f>
        <v>584</v>
      </c>
      <c r="H99" s="870" t="s">
        <v>726</v>
      </c>
      <c r="I99" s="619">
        <f>M8+1.4*M92</f>
        <v>555.37</v>
      </c>
      <c r="J99" s="618"/>
      <c r="K99" s="618"/>
      <c r="L99" s="624"/>
      <c r="M99" s="607"/>
      <c r="N99" s="111"/>
    </row>
    <row r="100" spans="1:14" ht="16.5" customHeight="1">
      <c r="A100" s="596" t="s">
        <v>260</v>
      </c>
      <c r="B100" s="597"/>
      <c r="C100" s="602"/>
      <c r="D100" s="722" t="s">
        <v>255</v>
      </c>
      <c r="E100" s="619">
        <f>F68</f>
        <v>25</v>
      </c>
      <c r="F100" s="830" t="s">
        <v>728</v>
      </c>
      <c r="G100" s="619">
        <f>E74</f>
        <v>529</v>
      </c>
      <c r="H100" s="618"/>
      <c r="I100" s="618"/>
      <c r="J100" s="618"/>
      <c r="K100" s="618"/>
      <c r="L100" s="624"/>
      <c r="M100" s="607"/>
      <c r="N100" s="111"/>
    </row>
    <row r="101" spans="1:14" ht="16.5" customHeight="1">
      <c r="A101" s="618"/>
      <c r="B101" s="618"/>
      <c r="C101" s="618"/>
      <c r="D101" s="618"/>
      <c r="E101" s="627" t="s">
        <v>224</v>
      </c>
      <c r="F101" s="628" t="s">
        <v>225</v>
      </c>
      <c r="G101" s="629" t="s">
        <v>226</v>
      </c>
      <c r="H101" s="618"/>
      <c r="I101" s="618"/>
      <c r="J101" s="618"/>
      <c r="K101" s="618"/>
      <c r="L101" s="624"/>
      <c r="M101" s="607"/>
      <c r="N101" s="111"/>
    </row>
    <row r="102" spans="1:14" ht="16.5" customHeight="1">
      <c r="A102" s="618"/>
      <c r="B102" s="618"/>
      <c r="C102" s="618"/>
      <c r="D102" s="618"/>
      <c r="E102" s="830" t="s">
        <v>712</v>
      </c>
      <c r="F102" s="830" t="s">
        <v>729</v>
      </c>
      <c r="G102" s="830" t="s">
        <v>713</v>
      </c>
      <c r="H102" s="618"/>
      <c r="I102" s="607"/>
      <c r="J102" s="625"/>
      <c r="K102" s="607"/>
      <c r="L102" s="607"/>
      <c r="M102" s="626"/>
      <c r="N102" s="134"/>
    </row>
    <row r="103" spans="1:14" ht="16.5" customHeight="1">
      <c r="A103" s="1085" t="s">
        <v>253</v>
      </c>
      <c r="B103" s="1086"/>
      <c r="C103" s="1092"/>
      <c r="D103" s="722" t="s">
        <v>263</v>
      </c>
      <c r="E103" s="216">
        <f>K84</f>
        <v>997</v>
      </c>
      <c r="F103" s="216">
        <f>L84</f>
        <v>1416</v>
      </c>
      <c r="G103" s="216">
        <f>M85</f>
        <v>623</v>
      </c>
      <c r="H103" s="618"/>
      <c r="I103" s="607"/>
      <c r="J103" s="625"/>
      <c r="K103" s="607"/>
      <c r="L103" s="607"/>
      <c r="M103" s="626"/>
      <c r="N103" s="134"/>
    </row>
    <row r="104" spans="1:14" ht="16.5" customHeight="1">
      <c r="A104" s="1085" t="s">
        <v>264</v>
      </c>
      <c r="B104" s="1086"/>
      <c r="C104" s="1092"/>
      <c r="D104" s="826" t="s">
        <v>730</v>
      </c>
      <c r="E104" s="81">
        <v>1.5</v>
      </c>
      <c r="F104" s="81">
        <v>1.1</v>
      </c>
      <c r="G104" s="81">
        <v>1.1</v>
      </c>
      <c r="H104" s="618"/>
      <c r="I104" s="607"/>
      <c r="J104" s="625"/>
      <c r="K104" s="607"/>
      <c r="L104" s="607"/>
      <c r="M104" s="626"/>
      <c r="N104" s="134"/>
    </row>
    <row r="105" spans="1:13" ht="16.5" customHeight="1">
      <c r="A105" s="1098"/>
      <c r="B105" s="1097" t="s">
        <v>261</v>
      </c>
      <c r="C105" s="1098"/>
      <c r="D105" s="1117"/>
      <c r="E105" s="1124" t="s">
        <v>965</v>
      </c>
      <c r="F105" s="1089"/>
      <c r="G105" s="1092"/>
      <c r="H105" s="1124" t="s">
        <v>966</v>
      </c>
      <c r="I105" s="1089"/>
      <c r="J105" s="1092"/>
      <c r="K105" s="603"/>
      <c r="L105" s="603"/>
      <c r="M105" s="618"/>
    </row>
    <row r="106" spans="1:13" ht="16.5" customHeight="1">
      <c r="A106" s="1100" t="s">
        <v>967</v>
      </c>
      <c r="B106" s="1101"/>
      <c r="C106" s="1102"/>
      <c r="D106" s="876" t="s">
        <v>227</v>
      </c>
      <c r="E106" s="1126" t="s">
        <v>224</v>
      </c>
      <c r="F106" s="1127" t="s">
        <v>225</v>
      </c>
      <c r="G106" s="1130" t="s">
        <v>226</v>
      </c>
      <c r="H106" s="1126" t="s">
        <v>224</v>
      </c>
      <c r="I106" s="1127" t="s">
        <v>225</v>
      </c>
      <c r="J106" s="1130" t="s">
        <v>226</v>
      </c>
      <c r="K106" s="603"/>
      <c r="L106" s="603"/>
      <c r="M106" s="618"/>
    </row>
    <row r="107" spans="1:13" ht="16.5" customHeight="1">
      <c r="A107" s="1085" t="s">
        <v>254</v>
      </c>
      <c r="B107" s="1086"/>
      <c r="C107" s="1092"/>
      <c r="D107" s="877" t="s">
        <v>196</v>
      </c>
      <c r="E107" s="81" t="s">
        <v>950</v>
      </c>
      <c r="F107" s="1117"/>
      <c r="G107" s="1117"/>
      <c r="H107" s="81" t="s">
        <v>950</v>
      </c>
      <c r="I107" s="1117"/>
      <c r="J107" s="1117"/>
      <c r="K107" s="603"/>
      <c r="L107" s="603"/>
      <c r="M107" s="618"/>
    </row>
    <row r="108" spans="1:13" ht="16.5" customHeight="1">
      <c r="A108" s="1103" t="s">
        <v>938</v>
      </c>
      <c r="B108" s="1104"/>
      <c r="C108" s="1106"/>
      <c r="D108" s="877" t="s">
        <v>197</v>
      </c>
      <c r="E108" s="216">
        <f>MAX(F8,F9)</f>
        <v>150</v>
      </c>
      <c r="F108" s="216">
        <f>F70</f>
        <v>20</v>
      </c>
      <c r="G108" s="216">
        <f>F70</f>
        <v>20</v>
      </c>
      <c r="H108" s="216">
        <f>MIN(F8,F9)</f>
        <v>100</v>
      </c>
      <c r="I108" s="216">
        <f>F70</f>
        <v>20</v>
      </c>
      <c r="J108" s="216">
        <f>F70</f>
        <v>20</v>
      </c>
      <c r="K108" s="603"/>
      <c r="L108" s="603"/>
      <c r="M108" s="618"/>
    </row>
    <row r="109" spans="1:13" ht="16.5" customHeight="1">
      <c r="A109" s="1085" t="s">
        <v>940</v>
      </c>
      <c r="B109" s="1086"/>
      <c r="C109" s="1089"/>
      <c r="D109" s="878" t="s">
        <v>663</v>
      </c>
      <c r="E109" s="140">
        <v>240</v>
      </c>
      <c r="F109" s="140">
        <v>315</v>
      </c>
      <c r="G109" s="140">
        <v>315</v>
      </c>
      <c r="H109" s="140">
        <v>254</v>
      </c>
      <c r="I109" s="140">
        <v>315</v>
      </c>
      <c r="J109" s="140">
        <v>315</v>
      </c>
      <c r="K109" s="603"/>
      <c r="L109" s="603"/>
      <c r="M109" s="618"/>
    </row>
    <row r="110" spans="1:13" ht="16.5" customHeight="1">
      <c r="A110" s="1107" t="s">
        <v>747</v>
      </c>
      <c r="B110" s="1108"/>
      <c r="C110" s="1109"/>
      <c r="D110" s="722" t="s">
        <v>699</v>
      </c>
      <c r="E110" s="216">
        <f>E73</f>
        <v>484</v>
      </c>
      <c r="F110" s="826" t="s">
        <v>986</v>
      </c>
      <c r="G110" s="216">
        <f>E51*IF(E109&gt;E45,E45/E109,1)</f>
        <v>5.8</v>
      </c>
      <c r="H110" s="216">
        <f>H73</f>
        <v>490</v>
      </c>
      <c r="I110" s="826" t="s">
        <v>986</v>
      </c>
      <c r="J110" s="216">
        <f>H51*IF(H109&gt;H45,H45/H109,1)</f>
        <v>3.6811023622047245</v>
      </c>
      <c r="K110" s="603"/>
      <c r="L110" s="603"/>
      <c r="M110" s="618"/>
    </row>
    <row r="111" spans="1:13" ht="16.5" customHeight="1">
      <c r="A111" s="1085" t="s">
        <v>985</v>
      </c>
      <c r="B111" s="1086"/>
      <c r="C111" s="1092"/>
      <c r="D111" s="722" t="s">
        <v>731</v>
      </c>
      <c r="E111" s="216">
        <f>E99*G111</f>
        <v>13.416</v>
      </c>
      <c r="F111" s="826" t="s">
        <v>987</v>
      </c>
      <c r="G111" s="216">
        <f>1-0.001*E110</f>
        <v>0.516</v>
      </c>
      <c r="H111" s="216">
        <f>E99*J111</f>
        <v>13.26</v>
      </c>
      <c r="I111" s="826" t="s">
        <v>987</v>
      </c>
      <c r="J111" s="216">
        <f>1-0.001*H110</f>
        <v>0.51</v>
      </c>
      <c r="K111" s="603"/>
      <c r="L111" s="603"/>
      <c r="M111" s="618"/>
    </row>
    <row r="112" spans="1:13" ht="16.5" customHeight="1">
      <c r="A112" s="1085" t="s">
        <v>984</v>
      </c>
      <c r="B112" s="1086"/>
      <c r="C112" s="1092"/>
      <c r="D112" s="879" t="s">
        <v>707</v>
      </c>
      <c r="E112" s="216">
        <f>(E110+G110)*G110^2</f>
        <v>16476.872</v>
      </c>
      <c r="F112" s="879" t="s">
        <v>988</v>
      </c>
      <c r="G112" s="216">
        <f>G98-E98-2*E111</f>
        <v>199.168</v>
      </c>
      <c r="H112" s="216">
        <f>(H110+J110)*J110^2</f>
        <v>6689.632985811248</v>
      </c>
      <c r="I112" s="879" t="s">
        <v>988</v>
      </c>
      <c r="J112" s="216">
        <f>G98-E98-2*H111</f>
        <v>199.48</v>
      </c>
      <c r="K112" s="603"/>
      <c r="L112" s="603"/>
      <c r="M112" s="618"/>
    </row>
    <row r="113" spans="1:13" ht="16.5" customHeight="1">
      <c r="A113" s="1085" t="s">
        <v>247</v>
      </c>
      <c r="B113" s="1086"/>
      <c r="C113" s="1092"/>
      <c r="D113" s="826" t="s">
        <v>257</v>
      </c>
      <c r="E113" s="216">
        <f>(G99-E110-G110)/2</f>
        <v>47.1</v>
      </c>
      <c r="F113" s="216">
        <f>E113</f>
        <v>47.1</v>
      </c>
      <c r="G113" s="216">
        <f>(G99-G100)/2</f>
        <v>27.5</v>
      </c>
      <c r="H113" s="216">
        <f>(G99-H110-J110)/2</f>
        <v>45.15944881889764</v>
      </c>
      <c r="I113" s="216">
        <f>H113</f>
        <v>45.15944881889764</v>
      </c>
      <c r="J113" s="216">
        <f>(G99-G100)/2</f>
        <v>27.5</v>
      </c>
      <c r="K113" s="603"/>
      <c r="L113" s="603"/>
      <c r="M113" s="618"/>
    </row>
    <row r="114" spans="1:13" ht="16.5" customHeight="1">
      <c r="A114" s="1085" t="s">
        <v>262</v>
      </c>
      <c r="B114" s="1086"/>
      <c r="C114" s="1092"/>
      <c r="D114" s="879" t="s">
        <v>732</v>
      </c>
      <c r="E114" s="216">
        <f>E103*1000*E104*E113/E109</f>
        <v>293491.875</v>
      </c>
      <c r="F114" s="216">
        <f>F103*1000*F104*F113/F109</f>
        <v>232898.28571428577</v>
      </c>
      <c r="G114" s="216">
        <f>G103*1000*G104*G113/G109</f>
        <v>59827.77777777778</v>
      </c>
      <c r="H114" s="216">
        <f>E103*1000*E104*H113/H109</f>
        <v>265889.58940417884</v>
      </c>
      <c r="I114" s="216">
        <f>F103*1000*F104*I113/I109</f>
        <v>223302.72215973007</v>
      </c>
      <c r="J114" s="216">
        <f>G103*1000*G104*J113/J109</f>
        <v>59827.77777777778</v>
      </c>
      <c r="K114" s="603"/>
      <c r="L114" s="612"/>
      <c r="M114" s="618"/>
    </row>
    <row r="115" spans="1:13" ht="16.5" customHeight="1">
      <c r="A115" s="1085" t="s">
        <v>265</v>
      </c>
      <c r="B115" s="1086"/>
      <c r="C115" s="1092"/>
      <c r="D115" s="826" t="s">
        <v>733</v>
      </c>
      <c r="E115" s="216">
        <f>((1.42*E114-E112)/G112)^0.5</f>
        <v>44.83044266827741</v>
      </c>
      <c r="F115" s="216">
        <f>((1.42*F114-E112)/G112)^0.5</f>
        <v>39.72098862605439</v>
      </c>
      <c r="G115" s="216">
        <f>((1.42*G114-E112)/G112)^0.5</f>
        <v>18.542469269093004</v>
      </c>
      <c r="H115" s="216">
        <f>((1.42*H114-H112)/J112)^0.5</f>
        <v>43.11846292061753</v>
      </c>
      <c r="I115" s="216">
        <f>((1.42*I114-H112)/J112)^0.5</f>
        <v>39.446760124301946</v>
      </c>
      <c r="J115" s="216">
        <f>((1.42*J114-H112)/J112)^0.5</f>
        <v>19.807805661468016</v>
      </c>
      <c r="K115" s="603"/>
      <c r="L115" s="612"/>
      <c r="M115" s="618"/>
    </row>
    <row r="116" spans="1:13" ht="16.5" customHeight="1">
      <c r="A116" s="1085" t="s">
        <v>266</v>
      </c>
      <c r="B116" s="1086"/>
      <c r="C116" s="1092"/>
      <c r="D116" s="879" t="s">
        <v>734</v>
      </c>
      <c r="E116" s="1098"/>
      <c r="F116" s="81">
        <v>45</v>
      </c>
      <c r="G116" s="1098"/>
      <c r="H116" s="1098"/>
      <c r="I116" s="81">
        <v>45</v>
      </c>
      <c r="J116" s="1098"/>
      <c r="K116" s="603"/>
      <c r="L116" s="612"/>
      <c r="M116" s="618"/>
    </row>
    <row r="117" spans="1:12" ht="15">
      <c r="A117" s="111"/>
      <c r="B117" s="111"/>
      <c r="C117" s="111"/>
      <c r="D117" s="111"/>
      <c r="E117" s="111"/>
      <c r="F117" s="111"/>
      <c r="G117" s="111"/>
      <c r="H117" s="124"/>
      <c r="I117" s="124"/>
      <c r="J117" s="124"/>
      <c r="L117" s="125"/>
    </row>
    <row r="118" spans="1:10" ht="15">
      <c r="A118" s="111"/>
      <c r="B118" s="135"/>
      <c r="C118" s="111"/>
      <c r="D118" s="53"/>
      <c r="E118" s="134"/>
      <c r="F118" s="134"/>
      <c r="G118" s="134"/>
      <c r="H118" s="124"/>
      <c r="I118" s="124"/>
      <c r="J118" s="124"/>
    </row>
  </sheetData>
  <sheetProtection password="C784" sheet="1" objects="1" scenarios="1"/>
  <dataValidations count="55">
    <dataValidation type="list" allowBlank="1" showInputMessage="1" showErrorMessage="1" sqref="F14">
      <formula1>"REGISTAR,OMOTA^"</formula1>
    </dataValidation>
    <dataValidation allowBlank="1" showInputMessage="1" showErrorMessage="1" promptTitle="Usvojeni vijak" prompt="Minimalna vrednost M 10" sqref="E93"/>
    <dataValidation allowBlank="1" showInputMessage="1" showErrorMessage="1" promptTitle="Usvojeni broj vijaka" prompt="Mora biti deljiv sa 4 i min 4&#10;Kontrola preko osnog razmaka max. 5 dL" sqref="E79"/>
    <dataValidation allowBlank="1" showInputMessage="1" showErrorMessage="1" prompt="Ugao profila navoja" sqref="F94"/>
    <dataValidation allowBlank="1" showInputMessage="1" showErrorMessage="1" prompt="Koeficijent trenja navojnog spoja&#10;" sqref="H94"/>
    <dataValidation allowBlank="1" showInputMessage="1" showErrorMessage="1" prompt="Ugao nagiba navoja " sqref="D94"/>
    <dataValidation allowBlank="1" showInputMessage="1" showErrorMessage="1" prompt="Ugao trenja navojnog spoja&#10;" sqref="J94"/>
    <dataValidation allowBlank="1" showInputMessage="1" showErrorMessage="1" prompt="Minimalna usvojena vrednost&#10;se=2 mm" sqref="E51:E62 H51:H62"/>
    <dataValidation allowBlank="1" showInputMessage="1" showErrorMessage="1" prompt="Usvaja se veca vrednost &#10;od izracunatih" sqref="K51:K62"/>
    <dataValidation allowBlank="1" showInputMessage="1" showErrorMessage="1" prompt="Predpostavljeni spoljnji precnik prirubnica. Birati prema zeljenoj visini oboda h" sqref="G98"/>
    <dataValidation allowBlank="1" showInputMessage="1" showErrorMessage="1" prompt="Sirina zaptivaca znacajno utice na povecanje sile u vijku i debljinu prirubnica, minimalna sirina Ds/20 (mm)" sqref="F68"/>
    <dataValidation allowBlank="1" showInputMessage="1" showErrorMessage="1" prompt="Minimalni osni razmak za radni prostor kljuca" sqref="J92"/>
    <dataValidation allowBlank="1" showInputMessage="1" showErrorMessage="1" prompt="Elementi geometrije aparata" sqref="K10:M10 M8:M12"/>
    <dataValidation allowBlank="1" showInputMessage="1" showErrorMessage="1" prompt="Obavezni proracunski podaci" sqref="F8:F11 D12:D13"/>
    <dataValidation type="list" allowBlank="1" showInputMessage="1" showErrorMessage="1" promptTitle="Polozaj primarnog fluida" prompt="Uzeti iz menija" sqref="E14">
      <formula1>"REGISTAR,OMOTAČ"</formula1>
    </dataValidation>
    <dataValidation allowBlank="1" showInputMessage="1" showErrorMessage="1" prompt="Oblik danca GLAVE" sqref="G17"/>
    <dataValidation type="list" allowBlank="1" showInputMessage="1" showErrorMessage="1" promptTitle="Ispupcenje danca glave" prompt="Uzeti iz menija" sqref="D18">
      <formula1>"PLITKO,DUBOKO"</formula1>
    </dataValidation>
    <dataValidation allowBlank="1" showInputMessage="1" showErrorMessage="1" prompt="Oblik danca omotaca" sqref="J17 L17 E17"/>
    <dataValidation type="list" allowBlank="1" showInputMessage="1" showErrorMessage="1" promptTitle="Ispupcenje danca omotaca" prompt="Uzeti iz menija" sqref="I18">
      <formula1>"PLITKO,DUBOKO"</formula1>
    </dataValidation>
    <dataValidation allowBlank="1" showInputMessage="1" showErrorMessage="1" prompt="Materijal danca glave" sqref="E19:G19 J19:L19"/>
    <dataValidation allowBlank="1" showInputMessage="1" showErrorMessage="1" promptTitle="Dance glave" prompt="Proracunska cvrstoca pri proracunskoj temperaturi" sqref="E22:G22"/>
    <dataValidation allowBlank="1" showInputMessage="1" showErrorMessage="1" promptTitle="Dance omotaca" prompt="Proracunska cvrstoca pri proracunskoj temperaturi" sqref="J22:L22"/>
    <dataValidation allowBlank="1" showInputMessage="1" showErrorMessage="1" prompt="Za materijal torusa" sqref="E23 J23"/>
    <dataValidation allowBlank="1" showInputMessage="1" showErrorMessage="1" prompt="Ako se dance radi iz jednog dela v=1" sqref="E25:F25 J25:K25"/>
    <dataValidation allowBlank="1" showInputMessage="1" showErrorMessage="1" prompt="Prema JUS M.E2.250" sqref="E24 J24 E46 H46 K45"/>
    <dataValidation allowBlank="1" showInputMessage="1" showErrorMessage="1" promptTitle="JUS M.E2.252" prompt="Proracunski koeficijent iz dijagrama pri proveri na ulubljivanje danca" sqref="E31 J31"/>
    <dataValidation allowBlank="1" showInputMessage="1" showErrorMessage="1" promptTitle="JUS M.E2.259" prompt="Proracunski koeficijent za ravna danca" sqref="G32 L32"/>
    <dataValidation allowBlank="1" showInputMessage="1" showErrorMessage="1" prompt="Izvedena debljina zida danca" sqref="E34:G34 J34:L34"/>
    <dataValidation allowBlank="1" showInputMessage="1" showErrorMessage="1" promptTitle="JUS M.E2.252" prompt="Proracunski faktor iz dijagrama pri proveri na ulubljivanje danca" sqref="E35 J35"/>
    <dataValidation allowBlank="1" showInputMessage="1" showErrorMessage="1" prompt="Materijal omotaca" sqref="E42 H42"/>
    <dataValidation allowBlank="1" showInputMessage="1" showErrorMessage="1" promptTitle="Omotac" prompt="Proracunska cvrstoca materijala pri proracunskoj temperaturi" sqref="E45 H45"/>
    <dataValidation allowBlank="1" showInputMessage="1" showErrorMessage="1" promptTitle="Cevna ploca" prompt="Proracunska cvrstoca materijala pri proracunskoj temperaturi" sqref="K44:L44"/>
    <dataValidation allowBlank="1" showInputMessage="1" showErrorMessage="1" promptTitle="JUS M.E2.259" prompt="Proracunski koeficijent za cevne ploce" sqref="K48"/>
    <dataValidation allowBlank="1" showInputMessage="1" showErrorMessage="1" promptTitle="Pravilnik posuda pod pritiskom" prompt="Prema vrsti klasi zavara" sqref="E47 H47"/>
    <dataValidation allowBlank="1" showInputMessage="1" showErrorMessage="1" prompt="Debljina zaptivaca - usvaja se" sqref="G68"/>
    <dataValidation allowBlank="1" showInputMessage="1" showErrorMessage="1" promptTitle="JUS M.E2.257" prompt="Maksimalni pritisak na zaptivac&#10;Pritisak destrukcije zaptivaca" sqref="E68"/>
    <dataValidation allowBlank="1" showInputMessage="1" showErrorMessage="1" prompt="Temperatura okoline pri ispitivanju" sqref="F70"/>
    <dataValidation allowBlank="1" showInputMessage="1" showErrorMessage="1" promptTitle="VIJCI" prompt="Proracunska cvrstoca pri proracunskoj temperaturi" sqref="E72:F72 H72 K72"/>
    <dataValidation allowBlank="1" showInputMessage="1" showErrorMessage="1" promptTitle="JUS M.E2.257" prompt="Stepen sigurnosti zaptivanja zaptivaca" sqref="E76:F76"/>
    <dataValidation allowBlank="1" showInputMessage="1" showErrorMessage="1" promptTitle="JUS M.E2.257" prompt="Pomocna vrednost koja zavisi od stepena sigurnosti za vijke i obrade nalezucih povrsina spojnih delova" sqref="E80:G80"/>
    <dataValidation allowBlank="1" showInputMessage="1" showErrorMessage="1" prompt="Korak navoja usvojenog vijka" sqref="G93"/>
    <dataValidation allowBlank="1" showInputMessage="1" showErrorMessage="1" prompt="Srednji precnik navoja usvojenog vijka" sqref="K93"/>
    <dataValidation allowBlank="1" showInputMessage="1" showErrorMessage="1" prompt="Precnik jezgra usvojenog vijka" sqref="I93"/>
    <dataValidation allowBlank="1" showInputMessage="1" showErrorMessage="1" prompt="Precnik otvora u prirubnici za prolaz vijka" sqref="M93"/>
    <dataValidation allowBlank="1" showInputMessage="1" showErrorMessage="1" prompt="Opisani krug glave usvojenog vijka" sqref="M92"/>
    <dataValidation allowBlank="1" showInputMessage="1" showErrorMessage="1" prompt="Otvor kljuca za glavu usvojenog vijka" sqref="M94"/>
    <dataValidation allowBlank="1" showInputMessage="1" showErrorMessage="1" prompt="Ugao profila usvojenog navoja" sqref="G94"/>
    <dataValidation allowBlank="1" showInputMessage="1" showErrorMessage="1" prompt="Koeficijent trenja obradjenih spojnih povrsina naleganja" sqref="I94"/>
    <dataValidation allowBlank="1" showInputMessage="1" showErrorMessage="1" prompt="Rucna sila pritezanja radnika" sqref="J95"/>
    <dataValidation allowBlank="1" showInputMessage="1" showErrorMessage="1" promptTitle="JUS M.E2.250" prompt="Stepen sigurnosti za radno, ispitno i ugradno stanje" sqref="E104:G104"/>
    <dataValidation allowBlank="1" showInputMessage="1" showErrorMessage="1" prompt="Materijal prirubnice na strani viseg pritiska" sqref="E107"/>
    <dataValidation allowBlank="1" showInputMessage="1" showErrorMessage="1" prompt="Materijal prirubnice na strani nizeg pritiska" sqref="H107"/>
    <dataValidation allowBlank="1" showInputMessage="1" showErrorMessage="1" promptTitle="Prirubnica na visem pritisku" prompt="Proracunska cvrstoca prema proracunskoj temperaturi" sqref="E109:G109"/>
    <dataValidation allowBlank="1" showInputMessage="1" showErrorMessage="1" promptTitle="Prirubnica na nizem pritisku" prompt="Proracunska cvrstoca na proracunskoj temperaturi" sqref="H109:J109"/>
    <dataValidation allowBlank="1" showInputMessage="1" showErrorMessage="1" prompt="Usvojeno prema najvecoj proracunskoj vrednosti&#10;ILI&#10;prema debljini cevne ploce" sqref="F116 I116"/>
  </dataValidations>
  <printOptions/>
  <pageMargins left="0.75" right="0.25" top="0.7" bottom="0.3" header="0.5" footer="0.5"/>
  <pageSetup horizontalDpi="300" verticalDpi="3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EXCELOVA PODRSKA KNJIGE</dc:title>
  <dc:subject>Dobosasti razmenjivaci toplote</dc:subject>
  <dc:creator>Rikalovic Milan</dc:creator>
  <cp:keywords>Razmenjivac toplote</cp:keywords>
  <dc:description>Aplikacija za podrsku knjige
DOBOSASTI RAZMENJIVACI TOPLOTE
Verzija 2</dc:description>
  <cp:lastModifiedBy>Dusan</cp:lastModifiedBy>
  <cp:lastPrinted>2017-05-18T22:44:10Z</cp:lastPrinted>
  <dcterms:created xsi:type="dcterms:W3CDTF">1999-12-25T14:09:33Z</dcterms:created>
  <dcterms:modified xsi:type="dcterms:W3CDTF">2017-05-20T16:37:27Z</dcterms:modified>
  <cp:category>Excelova aplikacija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